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80" windowWidth="9720" windowHeight="5460" activeTab="1"/>
  </bookViews>
  <sheets>
    <sheet name="Титульный лист" sheetId="1" r:id="rId1"/>
    <sheet name="2015" sheetId="2" r:id="rId2"/>
    <sheet name="Программа" sheetId="3" state="hidden" r:id="rId3"/>
    <sheet name="замена" sheetId="4" state="hidden" r:id="rId4"/>
    <sheet name="Лист2" sheetId="5" state="hidden" r:id="rId5"/>
  </sheets>
  <definedNames>
    <definedName name="_xlnm.Print_Titles" localSheetId="1">'2015'!$A:$A,'2015'!$5:$7</definedName>
    <definedName name="_xlnm.Print_Area" localSheetId="1">'2015'!$A$1:$AF$89</definedName>
  </definedNames>
  <calcPr fullCalcOnLoad="1"/>
</workbook>
</file>

<file path=xl/comments2.xml><?xml version="1.0" encoding="utf-8"?>
<comments xmlns="http://schemas.openxmlformats.org/spreadsheetml/2006/main">
  <authors>
    <author>Мартынова Снежана Владимировна</author>
  </authors>
  <commentList>
    <comment ref="U16" authorId="0">
      <text>
        <r>
          <rPr>
            <b/>
            <sz val="9"/>
            <rFont val="Tahoma"/>
            <family val="2"/>
          </rPr>
          <t>Мартынова Снежана Владимировна:</t>
        </r>
        <r>
          <rPr>
            <sz val="9"/>
            <rFont val="Tahoma"/>
            <family val="2"/>
          </rPr>
          <t xml:space="preserve">
было 1785,97</t>
        </r>
      </text>
    </comment>
    <comment ref="U30" authorId="0">
      <text>
        <r>
          <rPr>
            <b/>
            <sz val="9"/>
            <rFont val="Tahoma"/>
            <family val="2"/>
          </rPr>
          <t>Мартынова Снежана Владимировна:</t>
        </r>
        <r>
          <rPr>
            <sz val="9"/>
            <rFont val="Tahoma"/>
            <family val="2"/>
          </rPr>
          <t xml:space="preserve">
было 426,42</t>
        </r>
      </text>
    </comment>
    <comment ref="D5" authorId="0">
      <text>
        <r>
          <rPr>
            <b/>
            <sz val="9"/>
            <rFont val="Tahoma"/>
            <family val="0"/>
          </rPr>
          <t>Мартынова Снежана Владимировна:</t>
        </r>
        <r>
          <rPr>
            <sz val="9"/>
            <rFont val="Tahoma"/>
            <family val="0"/>
          </rPr>
          <t xml:space="preserve">
Доведено главным распорядителем до учреждения на основании предоставленных документов </t>
        </r>
      </text>
    </comment>
    <comment ref="E5" authorId="0">
      <text>
        <r>
          <rPr>
            <b/>
            <sz val="9"/>
            <rFont val="Tahoma"/>
            <family val="0"/>
          </rPr>
          <t>Мартынова Снежана Владимировна: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<sst xmlns="http://schemas.openxmlformats.org/spreadsheetml/2006/main" count="556" uniqueCount="183">
  <si>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</si>
  <si>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</si>
  <si>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</si>
  <si>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</si>
  <si>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</si>
  <si>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</si>
  <si>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</si>
  <si>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</si>
  <si>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</si>
  <si>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</si>
  <si>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</si>
  <si>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</si>
  <si>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</si>
  <si>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</si>
  <si>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</si>
  <si>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Исполнение,%</t>
  </si>
  <si>
    <t>на отчетную дату</t>
  </si>
  <si>
    <t>к текущему году</t>
  </si>
  <si>
    <t>кассовый расход</t>
  </si>
  <si>
    <t>План на отчетную дату</t>
  </si>
  <si>
    <t>Кассовый расход на  отчетную дату</t>
  </si>
  <si>
    <t>Результаты реализации и причины отклонений факта от плана</t>
  </si>
  <si>
    <t>Мероприятия:</t>
  </si>
  <si>
    <t>План на 2014 год</t>
  </si>
  <si>
    <t>бюджет автономного округа</t>
  </si>
  <si>
    <t>бюджет города Когалыма</t>
  </si>
  <si>
    <t>Согласовано</t>
  </si>
  <si>
    <t>Заместитель главы Администрации города Когалыма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</si>
  <si>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</si>
  <si>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</si>
  <si>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</si>
  <si>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</si>
  <si>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</si>
  <si>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</si>
  <si>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УПРАВЛЕНИЕ  ЭКОНОМИКИ</t>
  </si>
  <si>
    <t>________________________Т.И.Черных</t>
  </si>
  <si>
    <t>Муниципальная программа "Содействие занятости населения города Когалыма на 2014-2016 годы"</t>
  </si>
  <si>
    <t>Приложение</t>
  </si>
  <si>
    <t>к постановлению Администрации города Когалыма</t>
  </si>
  <si>
    <t>от ____________ №_________</t>
  </si>
  <si>
    <t>Основные мероприятия муниципальной программы</t>
  </si>
  <si>
    <t>№ п/п</t>
  </si>
  <si>
    <t>Ответственный исполнитель /соисполнитель,учреждение, организация</t>
  </si>
  <si>
    <t>Срок выполнения</t>
  </si>
  <si>
    <t>Финансовые затраты на реализацию (тыс. рублей)</t>
  </si>
  <si>
    <t>Источники финансирования</t>
  </si>
  <si>
    <t>всего</t>
  </si>
  <si>
    <t>в том числе</t>
  </si>
  <si>
    <t>2014 год</t>
  </si>
  <si>
    <t>2015 год</t>
  </si>
  <si>
    <t>2016 год</t>
  </si>
  <si>
    <t>I. Цель 1. Содействие занятости населения города Когалыма и повышение конкурентоспособности рабочей силы</t>
  </si>
  <si>
    <t>Подпрограмма 1. «Содействие трудоустройству граждан»</t>
  </si>
  <si>
    <t>Задача 1 Содействие временному трудоустройству несовершеннолетних граждан</t>
  </si>
  <si>
    <t>1.1.</t>
  </si>
  <si>
    <t>Организация временного трудоустройства несовершеннолетних граждан в возрасте от 14 до 18 лет в свободное от учёбы время</t>
  </si>
  <si>
    <t>Управление культуры, спорта и молодёжной политики Администрации города Когалыма</t>
  </si>
  <si>
    <t>2014-2016 годы</t>
  </si>
  <si>
    <t>Бюджет города Когалыма  (2016 год - за счёт условно утверждённых расходов)</t>
  </si>
  <si>
    <t>Бюджет автономного округа</t>
  </si>
  <si>
    <t>1.2.</t>
  </si>
  <si>
    <t>Организация временного трудоустройства несовершеннолетних граждан в возрасте от 14 до 18 лет в течение учебного года</t>
  </si>
  <si>
    <t>1.3.</t>
  </si>
  <si>
    <t xml:space="preserve">Организация временного трудоустройства несовершеннолетних безработных граждан в возрасте от 16 до 18 лет </t>
  </si>
  <si>
    <t>Бюджет Ханты-Мансийского автономного округа - Югры (далее - бюджет автономного округа)</t>
  </si>
  <si>
    <t>1.4.</t>
  </si>
  <si>
    <t>Обеспечение мероприятий по соблюдению охраны труда несовершеннолетних граждан согласно трудовому законодательству Российской Федерации</t>
  </si>
  <si>
    <t>1.5.</t>
  </si>
  <si>
    <t>Привлечение внештатных сотрудников</t>
  </si>
  <si>
    <t>1.6.</t>
  </si>
  <si>
    <t>Приобретение канцелярских товаров</t>
  </si>
  <si>
    <t>1.7.</t>
  </si>
  <si>
    <t>Оказание консультационных услуг по вопросам о занятости несовершеннолетних граждан</t>
  </si>
  <si>
    <t>Финансовое обеспечение не требуется</t>
  </si>
  <si>
    <t>Итого по задаче 1</t>
  </si>
  <si>
    <t>Задача 2 Сдерживание роста безработицы и снижение напряжённости на рынке труда</t>
  </si>
  <si>
    <t>2.1.</t>
  </si>
  <si>
    <t>Организация проведения оплачиваемых общественных работ для не занятых трудовой деятельностью и безработных граждан</t>
  </si>
  <si>
    <t>Муниципальное казённое учреждение «Управление жилищно-коммунального хозяйства города Когалыма»</t>
  </si>
  <si>
    <t>Итого по задаче 2</t>
  </si>
  <si>
    <t>Итого по подпрограмме 1</t>
  </si>
  <si>
    <t>Подпрограмма 2. «Дополнительные мероприятия в области занятости населения»</t>
  </si>
  <si>
    <t>Задача 3 Содействие трудоустройству незанятых одиноких родителей, родителей, воспитывающих детей-инвалидов, многодетных родителей</t>
  </si>
  <si>
    <t>3.1.</t>
  </si>
  <si>
    <t>Содействие трудоустройству незанятых одиноких родителей, родителей, воспитывающих детей-инвалидов, многодетных родителей</t>
  </si>
  <si>
    <t>Управление образования Администрации города Когалыма</t>
  </si>
  <si>
    <t>Итого по задаче 3</t>
  </si>
  <si>
    <t>Итого по подпрограмме 2</t>
  </si>
  <si>
    <t>II. Цель 2. Улучшение условий и охраны труда в городе Когалыме</t>
  </si>
  <si>
    <t>Подпрограмма 3. «Улучшение условий и охраны труда в городе Когалыме»</t>
  </si>
  <si>
    <t>Задача 4. Совершенствование государственного управления охраной труда в городе Когалыме в рамках переданных полномочий</t>
  </si>
  <si>
    <t>4.1.</t>
  </si>
  <si>
    <t>Проведение семинара по вопросам методического руководства служб охраны труда в организациях, расположенных в городе Когалыме</t>
  </si>
  <si>
    <t>Управление экономики Администрации города Когалыма</t>
  </si>
  <si>
    <t>4.2.</t>
  </si>
  <si>
    <t>Организация и проведение в городе Когалыме смотра-конкурса на лучшую организацию работы в области охраны труда и регулирования социально-трудовых отношений среди организаций, расположенных в городе Когалыме</t>
  </si>
  <si>
    <t>4.3.</t>
  </si>
  <si>
    <t>Организация и проведение в городе Когалыме смотра-конкурса «Лучший специалист по охране труда» среди специалистов по охране труда организаций города Когалыма</t>
  </si>
  <si>
    <t xml:space="preserve">Бюджет города Когалыма  </t>
  </si>
  <si>
    <t>4.4.</t>
  </si>
  <si>
    <t>Исполнение отдельных государственных полномочий по организации сбора и обработки информации о состоянии условий и охраны труда у работодателей и по обеспечению методического руководства работой служб охраны труда в организациях города Когалыма</t>
  </si>
  <si>
    <t xml:space="preserve">Бюджет автономного округа </t>
  </si>
  <si>
    <t>Итого по задаче 4</t>
  </si>
  <si>
    <t>Задача 5. Снижение уровня производственного травматизма, улучшение условий труда</t>
  </si>
  <si>
    <t>5.1.</t>
  </si>
  <si>
    <t>Организация проведения заседаний Межведомственной комиссии по охране труда в городе Когалыме</t>
  </si>
  <si>
    <t>5.2.</t>
  </si>
  <si>
    <t>Проведение анализа состояния условий и охраны труда, причин производственного травматизма и профессиональной заболеваемости в организациях города Когалыма. Принятие и реализация предупредительных и профилактических мер по снижению уровня производственного травматизма и профессиональной заболеваемости</t>
  </si>
  <si>
    <t>Итого по подпрограмме 3</t>
  </si>
  <si>
    <t>ВСЕГО  ПО  ПРОГРАММЕ</t>
  </si>
  <si>
    <t>в том числе:</t>
  </si>
  <si>
    <t>ответственный исполнитель – Управление экономики Администрации города Когалыма</t>
  </si>
  <si>
    <t>соисполнитель 1 – Управление культуры, спорта и молодёжной политики Администрации города Когалыма</t>
  </si>
  <si>
    <t>соисполнитель 2 – Муниципальное казённое учреждение «Управление жилищно-коммунального хозяйства города Когалыма»</t>
  </si>
  <si>
    <t>соисполнитель 3 – Управление образования Администрации города Когалыма</t>
  </si>
  <si>
    <t xml:space="preserve">Подпрограмма 1. "Содействие трудоустройству граждан" </t>
  </si>
  <si>
    <t>Задача  1 "Содействие временному трудоустройству несовершеннолетних граждан"</t>
  </si>
  <si>
    <t>1.1. "Организация временного трудоустройства несовершеннолетних граждан в возрасте от 14 до 18 лет в свободное от учёбы время"</t>
  </si>
  <si>
    <t>1.2. "Организация временного трудоустройства несовершеннолетних граждан в возрасте от 14 до 18 лет в течение учебного года"</t>
  </si>
  <si>
    <t>1.3. "Организация временного трудоустройства несовершеннолетних безработных граждан в возрасте от 16 до 18 лет "</t>
  </si>
  <si>
    <t>1.4. "Обеспечение мероприятий по соблюдению охраны труда несовершеннолетних граждан согласно трудовому законодательству Российской Федерации"</t>
  </si>
  <si>
    <t>1.5. "Привлечение внештатных сотрудников"</t>
  </si>
  <si>
    <t>1.6. "Приобретение канцелярских товаров"</t>
  </si>
  <si>
    <t>1.7. "Оказание консультационных услуг по вопросам о занятости несовершеннолетних граждан"</t>
  </si>
  <si>
    <t>Задача  2 "Сдерживание роста безработицы и снижение напряжённости на рынке труда"</t>
  </si>
  <si>
    <t>2.1. "Организация проведения оплачиваемых общественных работ для не занятых трудовой деятельностью и безработных граждан"</t>
  </si>
  <si>
    <t xml:space="preserve">Подпрограмма 2. "Дополнительные мероприятия в области занятости населения" </t>
  </si>
  <si>
    <t>Задача  3 "Содействие трудоустройству незанятых одиноких родителей, родителей, воспитывающих детей-инвалидов, многодетных родителей"</t>
  </si>
  <si>
    <t>3.1. "Содействие трудоустройству незанятых одиноких родителей, родителей, воспитывающих детей-инвалидов, многодетных родителей"</t>
  </si>
  <si>
    <t xml:space="preserve">Подпрограмма 3. "Улучшение условий и охраны труда в городе Когалыме" </t>
  </si>
  <si>
    <t>Задача  4 "Совершенствование государственного управления охраной труда в городе Когалыме в рамках переданных полномочий"</t>
  </si>
  <si>
    <t>4.1. "Проведение семинара по вопросам методического руководства служб охраны труда в организациях, расположенных в городе Когалыме"</t>
  </si>
  <si>
    <t>4.2. "Организация и проведение в городе Когалыме смотра-конкурса на лучшую организацию работы в области охраны труда и регулирования социально-трудовых отношений среди организаций, расположенных в городе Когалыме"</t>
  </si>
  <si>
    <t>4.3. "Организация и проведение в городе Когалыме смотра-конкурса «Лучший специалист по охране труда» среди специалистов по охране труда организаций города Когалыма"</t>
  </si>
  <si>
    <t>4.4. "Исполнение отдельных государственных полномочий по организации сбора и обработки информации о состоянии условий и охраны труда у работодателей и по обеспечению методического руководства работой служб охраны труда в организациях города Когалыма"</t>
  </si>
  <si>
    <t>Задача  5 "Снижение уровня производственного травматизма, улучшение условий труда"</t>
  </si>
  <si>
    <t>5.1. "Организация проведения заседаний Межведомственной комиссии по охране труда в городе Когалыме"</t>
  </si>
  <si>
    <t>5.2. "Проведение анализа состояния условий и охраны труда, причин производственного травматизма и профессиональной заболеваемости в организациях города Когалыма. Принятие и реализация предупредительных и профилактических мер по снижению уровня производственного травматизма и профессиональной заболеваемости"</t>
  </si>
  <si>
    <t>Заместитель начальника управления экономики Администрации города Когалыма</t>
  </si>
  <si>
    <t>Ю.Л.Спиридонова</t>
  </si>
  <si>
    <t xml:space="preserve">Начальник управления культуры, спорта и молодёжной политики </t>
  </si>
  <si>
    <t>Администрации города Когалыма</t>
  </si>
  <si>
    <t>Е.В.Бережинская</t>
  </si>
  <si>
    <t xml:space="preserve">Начальник управления образования Администрации города Когалыма </t>
  </si>
  <si>
    <t>С.Г.Гришина</t>
  </si>
  <si>
    <t>Директор МКУ "Управление жилищно-коммунального хозяйства</t>
  </si>
  <si>
    <t>города Когалыма"</t>
  </si>
  <si>
    <t>А.А.Морозов</t>
  </si>
  <si>
    <t>Власова Елена Михайловна, тел. 93-785</t>
  </si>
  <si>
    <t xml:space="preserve">Ответственный за составление сетевого графика: </t>
  </si>
  <si>
    <t>Профинансировано на отчетную дату</t>
  </si>
  <si>
    <t>2.1. "Содействие трудоустройству незанятых одиноких родителей, родителей, воспитывающих детей-инвалидов, многодетных родителей"</t>
  </si>
  <si>
    <r>
      <t xml:space="preserve">1.1. </t>
    </r>
    <r>
      <rPr>
        <b/>
        <sz val="14"/>
        <rFont val="Times New Roman"/>
        <family val="1"/>
      </rPr>
      <t>"</t>
    </r>
    <r>
      <rPr>
        <sz val="14"/>
        <rFont val="Times New Roman"/>
        <family val="1"/>
      </rPr>
      <t xml:space="preserve">Содействие трудоустройству незанятых инвалидов на оборудованные (оснащенные) для них рабочие места" </t>
    </r>
  </si>
  <si>
    <r>
      <t xml:space="preserve">Задача 2 </t>
    </r>
    <r>
      <rPr>
        <sz val="14"/>
        <rFont val="Times New Roman"/>
        <family val="1"/>
      </rPr>
      <t>"</t>
    </r>
    <r>
      <rPr>
        <b/>
        <sz val="14"/>
        <rFont val="Times New Roman"/>
        <family val="1"/>
      </rPr>
      <t>Содействие трудоустройству незанятых одиноких родителей, родителей, воспитывающих детей-инвалидов, многодетных родителей"</t>
    </r>
  </si>
  <si>
    <t>Задача 1 "Содействие трудоустройству незанятых инвалидов, создание условий для профессионального образования инвалидов"</t>
  </si>
  <si>
    <t xml:space="preserve">федеральный бюджет </t>
  </si>
  <si>
    <t>ИТОГО (ФЕНИКС)</t>
  </si>
  <si>
    <t>Задача  1 "Совершенствование государственного управления охраной труда в городе Когалыме в рамках переданных полномочий"</t>
  </si>
  <si>
    <t>1.1. "Проведение семинара по вопросам методического руководства служб охраны труда в организациях, расположенных в городе Когалыме"</t>
  </si>
  <si>
    <t>1.2. "Организация и проведение в городе Когалыме смотра-конкурса на лучшую организацию работы в области охраны труда и регулирования социально-трудовых отношений среди организаций, расположенных в городе Когалыме"</t>
  </si>
  <si>
    <t>1.3. "Организация и проведение в городе Когалыме смотра-конкурса «Лучший специалист по охране труда» среди специалистов по охране труда организаций города Когалыма"</t>
  </si>
  <si>
    <t>1.4. "Исполнение отдельных государственных полномочий по организации сбора и обработки информации о состоянии условий и охраны труда у работодателей и по обеспечению методического руководства работой служб охраны труда в организациях города Когалыма"</t>
  </si>
  <si>
    <t>Задача  2 "Снижение уровня производственного травматизма, улучшение условий труда"</t>
  </si>
  <si>
    <t>2.1. "Организация проведения заседаний Межведомственной комиссии по охране труда в городе Когалыме"</t>
  </si>
  <si>
    <t>2.2. "Проведение анализа состояния условий и охраны труда, причин производственного травматизма и профессиональной заболеваемости в организациях города Когалыма. Принятие и реализация предупредительных и профилактических мер по снижению уровня производственного травматизма и профессиональной заболеваемости"</t>
  </si>
  <si>
    <t>за 2015 год</t>
  </si>
  <si>
    <t>"Содействие занятости населения города Когалыма                      на 2014-2017 годы"</t>
  </si>
  <si>
    <t>План на 2015 год</t>
  </si>
  <si>
    <t>Муниципальная программа "Содействие занятости населения города Когалыма на 2014-2017 годы"</t>
  </si>
  <si>
    <t xml:space="preserve">В апреле 2015 года проведен запрос котировок, заключен контракт. Товар поставлен и оплачен.  </t>
  </si>
  <si>
    <t>Мартынова Снежана Владимировна , тел. 93-785</t>
  </si>
  <si>
    <t>В июне м-це проведен смотр-кокурс, участникам вручены грамоты и подарки.</t>
  </si>
  <si>
    <t>Заключено 3 договора на оснащение рабочих мест для инвалидов. Оснащены 3 рабочих места.</t>
  </si>
  <si>
    <t xml:space="preserve">по состоянию на 01.09.2015 </t>
  </si>
  <si>
    <t>С начала года оказано 782 консультаций несовершеннолетним гражданам.</t>
  </si>
  <si>
    <t>Ю.Л. Спиридонова</t>
  </si>
  <si>
    <t>Оплата за поставленный товар на приобретение медикаментов, перевязочных материалов, жилетов сигнальных, бейсболок, плащей, журналов прошла в июне, июле 2015 года. Закуплены трудовые книжки. Сложилась экономия после проводисых торгов в сумме 137,55 тыс.руб. Остальная сумма денежных средств будет освоена в сентябре, октябре 2015г.</t>
  </si>
  <si>
    <t>В конце января месяца 2015 года заключен договор "О совместной деятельности по организации временного трудоустройства граждан" с КУ ХМАО-Югры "Когалымский центр занятости". Принято 688 заявлений от несовершеннолетних граждан и их законных представителей. Заключено 600 срочных трудовых договоров с несовершеннолетними. На 01.09.2015 года не освоены средства в размере 753,17 тыс.руб. Денежные средства будут освоены в сентябре 2015 года после подписания актов выполненных работ.</t>
  </si>
  <si>
    <t>Поступило 10 заявок от учреждений и организаций города о потребности в рабочей силе, заключены договора о сотрудничестве. С несовершеннолетними гражданами и их законными представителями заключено 34 срочных трудовых договора по специальности "Оператор ЭВМ".  По состоянию на 01.09.2015 года не освоены средства в размере 72,71 тыс.руб. в связи неполным отработанным рабочим временем несовершеннолетними гражданами. Денежные средства будут освоены в сентябре, октябре  2015 года  за счет увеличения количества временных рабочих мест.</t>
  </si>
  <si>
    <t>Принято 10 заявлений от несовершеннолетних граждан из числа желающих трудоустроиться. С 3 учреждениями заключены договора о сотрудничестве. Заключено 10 срочных трудовых договора с несовершеннолетними. На 01.09.2015 года не освоены средства в размере 285,53 тыс.руб. в связи отсутствием несовершеннолетних граждане данной категории,  обратившихся в ЦЗН.  Денежные средства будут освоены в сентябре 2015 года после подписания актов выполненных работ.</t>
  </si>
  <si>
    <t>Заключено 63 договора с внештатными сотрудниками.  На 01.09.2015 не освоены 447,06 тыс.руб. Денежные средства будут освоены после подписания актов выполненных работ в сентябре  2015 года.</t>
  </si>
  <si>
    <t>Заключено 7 договоров "О совместной деятельности по организации временного трудоустройства граждан"с учреждениями участвующими в мероприятии и КУ ХМАО-Югры "Когалымский центр занятости населения", трудоустроено 218 человека. На 01.09.2015 года не освоено 12,75 тыс. рублей, освоение  средств планируется в сентябре 2015 года после подписания актов выполненных работ.</t>
  </si>
  <si>
    <t xml:space="preserve">На 01.09.2015 года не освоение денежных средств составляет 297,11 тыс.рублей в связи стем, что фактическая сумма выставленная поставщиками по услугам меньше планов (по услугам связи, расходов на содержание имущества), возврат суммы льготного проезда 32 тыс.рублей.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</si>
</sst>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_ ;[Red]\-#,##0.000\ "/>
    <numFmt numFmtId="189" formatCode="#,##0.0000_ ;[Red]\-#,##0.0000\ "/>
    <numFmt numFmtId="190" formatCode="0.000"/>
    <numFmt numFmtId="191" formatCode="0.0000"/>
    <numFmt numFmtId="192" formatCode="0.000%"/>
    <numFmt numFmtId="193" formatCode="0.0000%"/>
    <numFmt numFmtId="194" formatCode="0.00000%"/>
    <numFmt numFmtId="195" formatCode="0.000000%"/>
  </numFmts>
  <fonts count="8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5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30"/>
      <name val="Times New Roman"/>
      <family val="1"/>
    </font>
    <font>
      <sz val="14"/>
      <color indexed="17"/>
      <name val="Times New Roman"/>
      <family val="1"/>
    </font>
    <font>
      <b/>
      <sz val="14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Times New Roman"/>
      <family val="1"/>
    </font>
    <font>
      <sz val="14"/>
      <color rgb="FFFF0000"/>
      <name val="Times New Roman"/>
      <family val="1"/>
    </font>
    <font>
      <sz val="16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6"/>
      <color rgb="FF0070C0"/>
      <name val="Times New Roman"/>
      <family val="1"/>
    </font>
    <font>
      <sz val="14"/>
      <color rgb="FF008000"/>
      <name val="Times New Roman"/>
      <family val="1"/>
    </font>
    <font>
      <b/>
      <sz val="14"/>
      <color rgb="FF00800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173" fontId="5" fillId="0" borderId="10" xfId="0" applyNumberFormat="1" applyFont="1" applyFill="1" applyBorder="1" applyAlignment="1" applyProtection="1">
      <alignment vertical="center" wrapText="1"/>
      <protection/>
    </xf>
    <xf numFmtId="173" fontId="6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justify" vertical="center" wrapText="1"/>
    </xf>
    <xf numFmtId="0" fontId="9" fillId="0" borderId="0" xfId="0" applyFont="1" applyFill="1" applyAlignment="1">
      <alignment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49" fontId="5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9" fontId="5" fillId="19" borderId="10" xfId="0" applyNumberFormat="1" applyFont="1" applyFill="1" applyBorder="1" applyAlignment="1" applyProtection="1">
      <alignment horizontal="left" vertical="center"/>
      <protection locked="0"/>
    </xf>
    <xf numFmtId="173" fontId="5" fillId="19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 applyProtection="1">
      <alignment horizontal="justify" wrapText="1"/>
      <protection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0" fillId="0" borderId="0" xfId="0" applyFont="1" applyAlignment="1">
      <alignment/>
    </xf>
    <xf numFmtId="0" fontId="4" fillId="0" borderId="0" xfId="0" applyFont="1" applyFill="1" applyAlignment="1">
      <alignment horizontal="left" vertical="center" wrapText="1"/>
    </xf>
    <xf numFmtId="0" fontId="8" fillId="0" borderId="11" xfId="0" applyFont="1" applyFill="1" applyBorder="1" applyAlignment="1">
      <alignment vertical="center" wrapText="1"/>
    </xf>
    <xf numFmtId="0" fontId="15" fillId="0" borderId="0" xfId="0" applyFont="1" applyFill="1" applyAlignment="1">
      <alignment horizontal="right" wrapText="1"/>
    </xf>
    <xf numFmtId="49" fontId="5" fillId="0" borderId="10" xfId="0" applyNumberFormat="1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wrapText="1"/>
      <protection/>
    </xf>
    <xf numFmtId="0" fontId="7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" fontId="10" fillId="0" borderId="0" xfId="0" applyNumberFormat="1" applyFont="1" applyAlignment="1">
      <alignment/>
    </xf>
    <xf numFmtId="16" fontId="10" fillId="0" borderId="1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71" fillId="0" borderId="0" xfId="0" applyFont="1" applyAlignment="1">
      <alignment/>
    </xf>
    <xf numFmtId="4" fontId="71" fillId="0" borderId="0" xfId="0" applyNumberFormat="1" applyFont="1" applyAlignment="1">
      <alignment/>
    </xf>
    <xf numFmtId="0" fontId="71" fillId="0" borderId="10" xfId="0" applyFont="1" applyBorder="1" applyAlignment="1">
      <alignment horizontal="center" vertical="center" wrapText="1"/>
    </xf>
    <xf numFmtId="4" fontId="72" fillId="0" borderId="0" xfId="0" applyNumberFormat="1" applyFont="1" applyAlignment="1">
      <alignment/>
    </xf>
    <xf numFmtId="0" fontId="73" fillId="0" borderId="10" xfId="0" applyFont="1" applyBorder="1" applyAlignment="1">
      <alignment horizontal="center" vertical="center" wrapText="1"/>
    </xf>
    <xf numFmtId="4" fontId="73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 applyProtection="1">
      <alignment horizontal="left" wrapText="1"/>
      <protection/>
    </xf>
    <xf numFmtId="0" fontId="5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vertical="center" wrapText="1"/>
    </xf>
    <xf numFmtId="173" fontId="6" fillId="0" borderId="10" xfId="0" applyNumberFormat="1" applyFont="1" applyFill="1" applyBorder="1" applyAlignment="1">
      <alignment horizontal="justify" wrapText="1"/>
    </xf>
    <xf numFmtId="173" fontId="5" fillId="0" borderId="10" xfId="0" applyNumberFormat="1" applyFont="1" applyFill="1" applyBorder="1" applyAlignment="1">
      <alignment horizontal="justify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6" fillId="0" borderId="0" xfId="0" applyFont="1" applyAlignment="1">
      <alignment horizontal="left"/>
    </xf>
    <xf numFmtId="0" fontId="74" fillId="0" borderId="0" xfId="0" applyFont="1" applyAlignment="1">
      <alignment horizontal="left"/>
    </xf>
    <xf numFmtId="0" fontId="74" fillId="0" borderId="0" xfId="0" applyFont="1" applyAlignment="1">
      <alignment/>
    </xf>
    <xf numFmtId="0" fontId="18" fillId="0" borderId="0" xfId="0" applyFont="1" applyBorder="1" applyAlignment="1">
      <alignment/>
    </xf>
    <xf numFmtId="0" fontId="6" fillId="0" borderId="0" xfId="0" applyFont="1" applyFill="1" applyBorder="1" applyAlignment="1">
      <alignment horizontal="justify" wrapText="1"/>
    </xf>
    <xf numFmtId="173" fontId="6" fillId="0" borderId="0" xfId="0" applyNumberFormat="1" applyFont="1" applyFill="1" applyBorder="1" applyAlignment="1" applyProtection="1">
      <alignment vertical="center" wrapText="1"/>
      <protection/>
    </xf>
    <xf numFmtId="173" fontId="5" fillId="0" borderId="0" xfId="0" applyNumberFormat="1" applyFont="1" applyFill="1" applyBorder="1" applyAlignment="1" applyProtection="1">
      <alignment vertical="center" wrapText="1"/>
      <protection/>
    </xf>
    <xf numFmtId="173" fontId="6" fillId="0" borderId="0" xfId="0" applyNumberFormat="1" applyFont="1" applyFill="1" applyBorder="1" applyAlignment="1">
      <alignment horizontal="justify" wrapText="1"/>
    </xf>
    <xf numFmtId="0" fontId="5" fillId="0" borderId="0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vertical="center"/>
    </xf>
    <xf numFmtId="173" fontId="3" fillId="0" borderId="0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173" fontId="3" fillId="0" borderId="11" xfId="0" applyNumberFormat="1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6" fillId="31" borderId="10" xfId="0" applyFont="1" applyFill="1" applyBorder="1" applyAlignment="1">
      <alignment horizontal="left" wrapText="1"/>
    </xf>
    <xf numFmtId="0" fontId="6" fillId="31" borderId="10" xfId="0" applyFont="1" applyFill="1" applyBorder="1" applyAlignment="1">
      <alignment horizontal="justify" wrapText="1"/>
    </xf>
    <xf numFmtId="173" fontId="6" fillId="31" borderId="10" xfId="0" applyNumberFormat="1" applyFont="1" applyFill="1" applyBorder="1" applyAlignment="1" applyProtection="1">
      <alignment vertical="center" wrapText="1"/>
      <protection/>
    </xf>
    <xf numFmtId="173" fontId="5" fillId="31" borderId="10" xfId="0" applyNumberFormat="1" applyFont="1" applyFill="1" applyBorder="1" applyAlignment="1" applyProtection="1">
      <alignment vertical="center" wrapText="1"/>
      <protection/>
    </xf>
    <xf numFmtId="0" fontId="5" fillId="31" borderId="10" xfId="0" applyFont="1" applyFill="1" applyBorder="1" applyAlignment="1">
      <alignment horizontal="justify" vertical="center" wrapText="1"/>
    </xf>
    <xf numFmtId="0" fontId="2" fillId="31" borderId="0" xfId="0" applyFont="1" applyFill="1" applyBorder="1" applyAlignment="1">
      <alignment vertical="center" wrapText="1"/>
    </xf>
    <xf numFmtId="0" fontId="5" fillId="31" borderId="10" xfId="0" applyFont="1" applyFill="1" applyBorder="1" applyAlignment="1">
      <alignment horizontal="justify" wrapText="1"/>
    </xf>
    <xf numFmtId="0" fontId="75" fillId="0" borderId="0" xfId="0" applyFont="1" applyFill="1" applyAlignment="1">
      <alignment vertical="center" wrapText="1"/>
    </xf>
    <xf numFmtId="0" fontId="76" fillId="0" borderId="0" xfId="0" applyFont="1" applyFill="1" applyAlignment="1">
      <alignment horizontal="center" vertical="center" wrapText="1"/>
    </xf>
    <xf numFmtId="174" fontId="75" fillId="0" borderId="0" xfId="0" applyNumberFormat="1" applyFont="1" applyFill="1" applyAlignment="1">
      <alignment vertical="center" wrapText="1"/>
    </xf>
    <xf numFmtId="0" fontId="75" fillId="0" borderId="0" xfId="0" applyFont="1" applyFill="1" applyBorder="1" applyAlignment="1">
      <alignment vertical="center" wrapText="1"/>
    </xf>
    <xf numFmtId="0" fontId="76" fillId="0" borderId="0" xfId="0" applyFont="1" applyFill="1" applyBorder="1" applyAlignment="1">
      <alignment vertical="center" wrapText="1"/>
    </xf>
    <xf numFmtId="173" fontId="76" fillId="0" borderId="0" xfId="0" applyNumberFormat="1" applyFont="1" applyFill="1" applyBorder="1" applyAlignment="1">
      <alignment vertical="center" wrapText="1"/>
    </xf>
    <xf numFmtId="188" fontId="76" fillId="0" borderId="0" xfId="0" applyNumberFormat="1" applyFont="1" applyFill="1" applyBorder="1" applyAlignment="1">
      <alignment vertical="center" wrapText="1"/>
    </xf>
    <xf numFmtId="173" fontId="76" fillId="31" borderId="0" xfId="0" applyNumberFormat="1" applyFont="1" applyFill="1" applyBorder="1" applyAlignment="1">
      <alignment vertical="center" wrapText="1"/>
    </xf>
    <xf numFmtId="188" fontId="76" fillId="31" borderId="0" xfId="0" applyNumberFormat="1" applyFont="1" applyFill="1" applyBorder="1" applyAlignment="1">
      <alignment vertical="center" wrapText="1"/>
    </xf>
    <xf numFmtId="173" fontId="75" fillId="0" borderId="0" xfId="0" applyNumberFormat="1" applyFont="1" applyFill="1" applyAlignment="1">
      <alignment vertical="center" wrapText="1"/>
    </xf>
    <xf numFmtId="188" fontId="5" fillId="0" borderId="10" xfId="0" applyNumberFormat="1" applyFont="1" applyFill="1" applyBorder="1" applyAlignment="1" applyProtection="1">
      <alignment vertical="center" wrapText="1"/>
      <protection/>
    </xf>
    <xf numFmtId="188" fontId="5" fillId="31" borderId="10" xfId="0" applyNumberFormat="1" applyFont="1" applyFill="1" applyBorder="1" applyAlignment="1" applyProtection="1">
      <alignment vertical="center" wrapText="1"/>
      <protection/>
    </xf>
    <xf numFmtId="188" fontId="6" fillId="0" borderId="10" xfId="0" applyNumberFormat="1" applyFont="1" applyFill="1" applyBorder="1" applyAlignment="1" applyProtection="1">
      <alignment vertical="center" wrapText="1"/>
      <protection/>
    </xf>
    <xf numFmtId="188" fontId="5" fillId="0" borderId="10" xfId="0" applyNumberFormat="1" applyFont="1" applyFill="1" applyBorder="1" applyAlignment="1" applyProtection="1">
      <alignment wrapText="1"/>
      <protection/>
    </xf>
    <xf numFmtId="188" fontId="5" fillId="0" borderId="10" xfId="0" applyNumberFormat="1" applyFont="1" applyFill="1" applyBorder="1" applyAlignment="1">
      <alignment horizontal="justify" wrapText="1"/>
    </xf>
    <xf numFmtId="188" fontId="6" fillId="0" borderId="10" xfId="0" applyNumberFormat="1" applyFont="1" applyFill="1" applyBorder="1" applyAlignment="1">
      <alignment horizontal="justify" wrapText="1"/>
    </xf>
    <xf numFmtId="188" fontId="76" fillId="33" borderId="0" xfId="0" applyNumberFormat="1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77" fillId="0" borderId="0" xfId="0" applyFont="1" applyFill="1" applyBorder="1" applyAlignment="1">
      <alignment vertical="center" wrapText="1"/>
    </xf>
    <xf numFmtId="0" fontId="78" fillId="0" borderId="0" xfId="0" applyFont="1" applyFill="1" applyAlignment="1">
      <alignment vertical="center" wrapText="1"/>
    </xf>
    <xf numFmtId="0" fontId="79" fillId="0" borderId="0" xfId="0" applyFont="1" applyFill="1" applyAlignment="1">
      <alignment horizontal="center" vertical="center" wrapText="1"/>
    </xf>
    <xf numFmtId="174" fontId="78" fillId="0" borderId="0" xfId="0" applyNumberFormat="1" applyFont="1" applyFill="1" applyAlignment="1">
      <alignment vertical="center" wrapText="1"/>
    </xf>
    <xf numFmtId="0" fontId="78" fillId="0" borderId="0" xfId="0" applyFont="1" applyFill="1" applyBorder="1" applyAlignment="1">
      <alignment vertical="center" wrapText="1"/>
    </xf>
    <xf numFmtId="0" fontId="79" fillId="0" borderId="0" xfId="0" applyFont="1" applyFill="1" applyBorder="1" applyAlignment="1">
      <alignment vertical="center" wrapText="1"/>
    </xf>
    <xf numFmtId="188" fontId="79" fillId="0" borderId="0" xfId="0" applyNumberFormat="1" applyFont="1" applyFill="1" applyBorder="1" applyAlignment="1">
      <alignment vertical="center" wrapText="1"/>
    </xf>
    <xf numFmtId="0" fontId="79" fillId="0" borderId="0" xfId="0" applyFont="1" applyFill="1" applyAlignment="1">
      <alignment vertical="center" wrapText="1"/>
    </xf>
    <xf numFmtId="173" fontId="78" fillId="0" borderId="0" xfId="0" applyNumberFormat="1" applyFont="1" applyFill="1" applyAlignment="1">
      <alignment vertical="center" wrapText="1"/>
    </xf>
    <xf numFmtId="173" fontId="6" fillId="0" borderId="0" xfId="0" applyNumberFormat="1" applyFont="1" applyFill="1" applyAlignment="1">
      <alignment vertical="center" wrapText="1"/>
    </xf>
    <xf numFmtId="49" fontId="20" fillId="0" borderId="10" xfId="0" applyNumberFormat="1" applyFont="1" applyFill="1" applyBorder="1" applyAlignment="1" applyProtection="1">
      <alignment horizontal="left" vertical="center"/>
      <protection locked="0"/>
    </xf>
    <xf numFmtId="0" fontId="20" fillId="0" borderId="10" xfId="0" applyFont="1" applyFill="1" applyBorder="1" applyAlignment="1">
      <alignment horizontal="justify" vertical="center" wrapText="1"/>
    </xf>
    <xf numFmtId="173" fontId="5" fillId="0" borderId="10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173" fontId="5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 applyProtection="1">
      <alignment horizontal="right" vertical="center" wrapText="1"/>
      <protection/>
    </xf>
    <xf numFmtId="2" fontId="5" fillId="0" borderId="10" xfId="0" applyNumberFormat="1" applyFont="1" applyFill="1" applyBorder="1" applyAlignment="1">
      <alignment horizontal="right" vertical="center" wrapText="1"/>
    </xf>
    <xf numFmtId="2" fontId="6" fillId="0" borderId="10" xfId="0" applyNumberFormat="1" applyFont="1" applyFill="1" applyBorder="1" applyAlignment="1" applyProtection="1">
      <alignment horizontal="right" vertical="center" wrapText="1"/>
      <protection/>
    </xf>
    <xf numFmtId="2" fontId="6" fillId="0" borderId="10" xfId="0" applyNumberFormat="1" applyFont="1" applyFill="1" applyBorder="1" applyAlignment="1">
      <alignment horizontal="right" vertical="center" wrapText="1"/>
    </xf>
    <xf numFmtId="0" fontId="5" fillId="10" borderId="10" xfId="0" applyFont="1" applyFill="1" applyBorder="1" applyAlignment="1" applyProtection="1">
      <alignment wrapText="1"/>
      <protection/>
    </xf>
    <xf numFmtId="2" fontId="5" fillId="10" borderId="10" xfId="0" applyNumberFormat="1" applyFont="1" applyFill="1" applyBorder="1" applyAlignment="1" applyProtection="1">
      <alignment horizontal="right" vertical="center" wrapText="1"/>
      <protection/>
    </xf>
    <xf numFmtId="0" fontId="20" fillId="10" borderId="10" xfId="0" applyFont="1" applyFill="1" applyBorder="1" applyAlignment="1" applyProtection="1">
      <alignment wrapText="1"/>
      <protection/>
    </xf>
    <xf numFmtId="0" fontId="5" fillId="7" borderId="10" xfId="0" applyFont="1" applyFill="1" applyBorder="1" applyAlignment="1">
      <alignment horizontal="justify" wrapText="1"/>
    </xf>
    <xf numFmtId="2" fontId="5" fillId="7" borderId="10" xfId="0" applyNumberFormat="1" applyFont="1" applyFill="1" applyBorder="1" applyAlignment="1">
      <alignment horizontal="right" vertical="center" wrapText="1"/>
    </xf>
    <xf numFmtId="2" fontId="5" fillId="7" borderId="10" xfId="0" applyNumberFormat="1" applyFont="1" applyFill="1" applyBorder="1" applyAlignment="1" applyProtection="1">
      <alignment horizontal="right" vertical="center" wrapText="1"/>
      <protection/>
    </xf>
    <xf numFmtId="0" fontId="20" fillId="0" borderId="10" xfId="0" applyFont="1" applyFill="1" applyBorder="1" applyAlignment="1">
      <alignment horizontal="left" vertical="top" wrapText="1"/>
    </xf>
    <xf numFmtId="0" fontId="20" fillId="10" borderId="10" xfId="0" applyFont="1" applyFill="1" applyBorder="1" applyAlignment="1" applyProtection="1">
      <alignment horizontal="left" vertical="top" wrapText="1"/>
      <protection/>
    </xf>
    <xf numFmtId="0" fontId="20" fillId="0" borderId="13" xfId="0" applyFont="1" applyFill="1" applyBorder="1" applyAlignment="1">
      <alignment horizontal="left" vertical="top" wrapText="1"/>
    </xf>
    <xf numFmtId="0" fontId="20" fillId="0" borderId="14" xfId="0" applyFont="1" applyFill="1" applyBorder="1" applyAlignment="1">
      <alignment vertical="top" wrapText="1"/>
    </xf>
    <xf numFmtId="0" fontId="5" fillId="12" borderId="10" xfId="0" applyFont="1" applyFill="1" applyBorder="1" applyAlignment="1">
      <alignment horizontal="justify" wrapText="1"/>
    </xf>
    <xf numFmtId="0" fontId="20" fillId="12" borderId="14" xfId="0" applyFont="1" applyFill="1" applyBorder="1" applyAlignment="1">
      <alignment horizontal="left" vertical="top" wrapText="1"/>
    </xf>
    <xf numFmtId="0" fontId="6" fillId="12" borderId="10" xfId="0" applyFont="1" applyFill="1" applyBorder="1" applyAlignment="1">
      <alignment horizontal="justify" wrapText="1"/>
    </xf>
    <xf numFmtId="172" fontId="5" fillId="7" borderId="10" xfId="60" applyFont="1" applyFill="1" applyBorder="1" applyAlignment="1">
      <alignment horizontal="right" vertical="center" wrapText="1"/>
    </xf>
    <xf numFmtId="172" fontId="5" fillId="7" borderId="10" xfId="60" applyFont="1" applyFill="1" applyBorder="1" applyAlignment="1" applyProtection="1">
      <alignment horizontal="right" vertical="center" wrapText="1"/>
      <protection/>
    </xf>
    <xf numFmtId="172" fontId="6" fillId="0" borderId="10" xfId="60" applyFont="1" applyFill="1" applyBorder="1" applyAlignment="1">
      <alignment horizontal="right" vertical="center" wrapText="1"/>
    </xf>
    <xf numFmtId="172" fontId="6" fillId="0" borderId="10" xfId="60" applyFont="1" applyFill="1" applyBorder="1" applyAlignment="1" applyProtection="1">
      <alignment horizontal="right" vertical="center" wrapText="1"/>
      <protection/>
    </xf>
    <xf numFmtId="172" fontId="5" fillId="0" borderId="10" xfId="60" applyFont="1" applyFill="1" applyBorder="1" applyAlignment="1" applyProtection="1">
      <alignment horizontal="right" vertical="center" wrapText="1"/>
      <protection/>
    </xf>
    <xf numFmtId="172" fontId="5" fillId="12" borderId="10" xfId="60" applyFont="1" applyFill="1" applyBorder="1" applyAlignment="1">
      <alignment horizontal="right" vertical="center" wrapText="1"/>
    </xf>
    <xf numFmtId="172" fontId="6" fillId="12" borderId="10" xfId="60" applyFont="1" applyFill="1" applyBorder="1" applyAlignment="1">
      <alignment horizontal="right" vertical="center" wrapText="1"/>
    </xf>
    <xf numFmtId="172" fontId="5" fillId="0" borderId="10" xfId="60" applyFont="1" applyFill="1" applyBorder="1" applyAlignment="1">
      <alignment horizontal="right" vertical="center" wrapText="1"/>
    </xf>
    <xf numFmtId="172" fontId="5" fillId="10" borderId="10" xfId="60" applyFont="1" applyFill="1" applyBorder="1" applyAlignment="1" applyProtection="1">
      <alignment horizontal="right" vertical="center" wrapText="1"/>
      <protection/>
    </xf>
    <xf numFmtId="9" fontId="5" fillId="7" borderId="10" xfId="57" applyFont="1" applyFill="1" applyBorder="1" applyAlignment="1">
      <alignment horizontal="right" vertical="center" wrapText="1"/>
    </xf>
    <xf numFmtId="9" fontId="6" fillId="0" borderId="10" xfId="57" applyFont="1" applyFill="1" applyBorder="1" applyAlignment="1" applyProtection="1">
      <alignment horizontal="right" vertical="center" wrapText="1"/>
      <protection/>
    </xf>
    <xf numFmtId="9" fontId="5" fillId="0" borderId="10" xfId="57" applyFont="1" applyFill="1" applyBorder="1" applyAlignment="1" applyProtection="1">
      <alignment horizontal="right" vertical="center" wrapText="1"/>
      <protection/>
    </xf>
    <xf numFmtId="9" fontId="5" fillId="12" borderId="10" xfId="57" applyFont="1" applyFill="1" applyBorder="1" applyAlignment="1">
      <alignment horizontal="right" vertical="center" wrapText="1"/>
    </xf>
    <xf numFmtId="9" fontId="6" fillId="12" borderId="10" xfId="57" applyFont="1" applyFill="1" applyBorder="1" applyAlignment="1">
      <alignment horizontal="right" vertical="center" wrapText="1"/>
    </xf>
    <xf numFmtId="9" fontId="5" fillId="10" borderId="10" xfId="57" applyFont="1" applyFill="1" applyBorder="1" applyAlignment="1" applyProtection="1">
      <alignment horizontal="right" vertical="center" wrapText="1"/>
      <protection/>
    </xf>
    <xf numFmtId="9" fontId="5" fillId="7" borderId="10" xfId="57" applyFont="1" applyFill="1" applyBorder="1" applyAlignment="1" applyProtection="1">
      <alignment horizontal="right" vertical="center" wrapText="1"/>
      <protection/>
    </xf>
    <xf numFmtId="0" fontId="6" fillId="4" borderId="10" xfId="0" applyFont="1" applyFill="1" applyBorder="1" applyAlignment="1">
      <alignment horizontal="justify" wrapText="1"/>
    </xf>
    <xf numFmtId="172" fontId="6" fillId="4" borderId="10" xfId="60" applyFont="1" applyFill="1" applyBorder="1" applyAlignment="1">
      <alignment horizontal="right" vertical="center" wrapText="1"/>
    </xf>
    <xf numFmtId="9" fontId="6" fillId="4" borderId="10" xfId="57" applyFont="1" applyFill="1" applyBorder="1" applyAlignment="1" applyProtection="1">
      <alignment horizontal="right" vertical="center" wrapText="1"/>
      <protection/>
    </xf>
    <xf numFmtId="0" fontId="2" fillId="4" borderId="0" xfId="0" applyFont="1" applyFill="1" applyBorder="1" applyAlignment="1">
      <alignment vertical="center" wrapText="1"/>
    </xf>
    <xf numFmtId="0" fontId="79" fillId="4" borderId="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justify" wrapText="1"/>
    </xf>
    <xf numFmtId="172" fontId="6" fillId="34" borderId="10" xfId="60" applyFont="1" applyFill="1" applyBorder="1" applyAlignment="1">
      <alignment horizontal="right" vertical="center" wrapText="1"/>
    </xf>
    <xf numFmtId="172" fontId="6" fillId="34" borderId="10" xfId="60" applyFont="1" applyFill="1" applyBorder="1" applyAlignment="1" applyProtection="1">
      <alignment horizontal="right" vertical="center" wrapText="1"/>
      <protection/>
    </xf>
    <xf numFmtId="9" fontId="6" fillId="34" borderId="10" xfId="57" applyFont="1" applyFill="1" applyBorder="1" applyAlignment="1" applyProtection="1">
      <alignment horizontal="right" vertical="center" wrapText="1"/>
      <protection/>
    </xf>
    <xf numFmtId="0" fontId="2" fillId="34" borderId="0" xfId="0" applyFont="1" applyFill="1" applyBorder="1" applyAlignment="1">
      <alignment vertical="center" wrapText="1"/>
    </xf>
    <xf numFmtId="0" fontId="79" fillId="34" borderId="0" xfId="0" applyFont="1" applyFill="1" applyBorder="1" applyAlignment="1">
      <alignment vertical="center" wrapText="1"/>
    </xf>
    <xf numFmtId="188" fontId="2" fillId="34" borderId="0" xfId="0" applyNumberFormat="1" applyFont="1" applyFill="1" applyBorder="1" applyAlignment="1">
      <alignment vertical="center" wrapText="1"/>
    </xf>
    <xf numFmtId="0" fontId="19" fillId="34" borderId="0" xfId="0" applyFont="1" applyFill="1" applyBorder="1" applyAlignment="1">
      <alignment vertical="center" wrapText="1"/>
    </xf>
    <xf numFmtId="188" fontId="79" fillId="34" borderId="0" xfId="0" applyNumberFormat="1" applyFont="1" applyFill="1" applyBorder="1" applyAlignment="1">
      <alignment vertical="center" wrapText="1"/>
    </xf>
    <xf numFmtId="172" fontId="5" fillId="34" borderId="10" xfId="60" applyFont="1" applyFill="1" applyBorder="1" applyAlignment="1" applyProtection="1">
      <alignment horizontal="right" vertical="center" wrapText="1"/>
      <protection/>
    </xf>
    <xf numFmtId="0" fontId="10" fillId="34" borderId="14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vertical="center" wrapText="1"/>
    </xf>
    <xf numFmtId="0" fontId="78" fillId="34" borderId="0" xfId="0" applyFont="1" applyFill="1" applyBorder="1" applyAlignment="1">
      <alignment vertical="center" wrapText="1"/>
    </xf>
    <xf numFmtId="0" fontId="20" fillId="34" borderId="14" xfId="0" applyFont="1" applyFill="1" applyBorder="1" applyAlignment="1">
      <alignment horizontal="left" vertical="top" wrapText="1"/>
    </xf>
    <xf numFmtId="0" fontId="20" fillId="34" borderId="14" xfId="0" applyFont="1" applyFill="1" applyBorder="1" applyAlignment="1">
      <alignment vertical="top" wrapText="1"/>
    </xf>
    <xf numFmtId="0" fontId="20" fillId="4" borderId="10" xfId="0" applyFont="1" applyFill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173" fontId="6" fillId="0" borderId="0" xfId="0" applyNumberFormat="1" applyFont="1" applyFill="1" applyAlignment="1">
      <alignment horizontal="left" vertical="center" wrapText="1"/>
    </xf>
    <xf numFmtId="173" fontId="6" fillId="0" borderId="0" xfId="0" applyNumberFormat="1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3" fontId="5" fillId="0" borderId="13" xfId="0" applyNumberFormat="1" applyFont="1" applyFill="1" applyBorder="1" applyAlignment="1">
      <alignment horizontal="center" vertical="center" wrapText="1"/>
    </xf>
    <xf numFmtId="173" fontId="5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left" vertical="top" wrapText="1"/>
    </xf>
    <xf numFmtId="0" fontId="20" fillId="0" borderId="15" xfId="0" applyFont="1" applyFill="1" applyBorder="1" applyAlignment="1">
      <alignment horizontal="left" vertical="top" wrapText="1"/>
    </xf>
    <xf numFmtId="0" fontId="20" fillId="0" borderId="14" xfId="0" applyFont="1" applyFill="1" applyBorder="1" applyAlignment="1">
      <alignment horizontal="left" vertical="top" wrapText="1"/>
    </xf>
    <xf numFmtId="0" fontId="20" fillId="0" borderId="13" xfId="0" applyFont="1" applyFill="1" applyBorder="1" applyAlignment="1">
      <alignment vertical="top" wrapText="1"/>
    </xf>
    <xf numFmtId="0" fontId="20" fillId="0" borderId="15" xfId="0" applyFont="1" applyFill="1" applyBorder="1" applyAlignment="1">
      <alignment vertical="top" wrapText="1"/>
    </xf>
    <xf numFmtId="0" fontId="20" fillId="0" borderId="14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0" fontId="71" fillId="0" borderId="13" xfId="0" applyFont="1" applyBorder="1" applyAlignment="1">
      <alignment horizontal="center" vertical="center" wrapText="1"/>
    </xf>
    <xf numFmtId="0" fontId="71" fillId="0" borderId="15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7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73" fillId="0" borderId="13" xfId="0" applyFont="1" applyBorder="1" applyAlignment="1">
      <alignment horizontal="center" vertical="center" wrapText="1"/>
    </xf>
    <xf numFmtId="0" fontId="73" fillId="0" borderId="15" xfId="0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 wrapText="1"/>
    </xf>
    <xf numFmtId="16" fontId="10" fillId="0" borderId="13" xfId="0" applyNumberFormat="1" applyFont="1" applyBorder="1" applyAlignment="1">
      <alignment horizontal="center" vertical="center" wrapText="1"/>
    </xf>
    <xf numFmtId="16" fontId="10" fillId="0" borderId="15" xfId="0" applyNumberFormat="1" applyFont="1" applyBorder="1" applyAlignment="1">
      <alignment horizontal="center" vertical="center" wrapText="1"/>
    </xf>
    <xf numFmtId="16" fontId="10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47"/>
  <sheetViews>
    <sheetView zoomScalePageLayoutView="0" workbookViewId="0" topLeftCell="A1">
      <selection activeCell="A1" sqref="A1:I47"/>
    </sheetView>
  </sheetViews>
  <sheetFormatPr defaultColWidth="9.140625" defaultRowHeight="12.75"/>
  <cols>
    <col min="1" max="16384" width="9.140625" style="25" customWidth="1"/>
  </cols>
  <sheetData>
    <row r="1" spans="1:2" ht="18.75">
      <c r="A1" s="166"/>
      <c r="B1" s="166"/>
    </row>
    <row r="10" spans="1:9" ht="23.25">
      <c r="A10" s="167" t="s">
        <v>34</v>
      </c>
      <c r="B10" s="167"/>
      <c r="C10" s="167"/>
      <c r="D10" s="167"/>
      <c r="E10" s="167"/>
      <c r="F10" s="167"/>
      <c r="G10" s="167"/>
      <c r="H10" s="167"/>
      <c r="I10" s="167"/>
    </row>
    <row r="11" spans="1:9" ht="23.25">
      <c r="A11" s="167" t="s">
        <v>28</v>
      </c>
      <c r="B11" s="167"/>
      <c r="C11" s="167"/>
      <c r="D11" s="167"/>
      <c r="E11" s="167"/>
      <c r="F11" s="167"/>
      <c r="G11" s="167"/>
      <c r="H11" s="167"/>
      <c r="I11" s="167"/>
    </row>
    <row r="13" spans="1:9" ht="27" customHeight="1">
      <c r="A13" s="168" t="s">
        <v>29</v>
      </c>
      <c r="B13" s="168"/>
      <c r="C13" s="168"/>
      <c r="D13" s="168"/>
      <c r="E13" s="168"/>
      <c r="F13" s="168"/>
      <c r="G13" s="168"/>
      <c r="H13" s="168"/>
      <c r="I13" s="168"/>
    </row>
    <row r="14" spans="1:9" ht="27" customHeight="1">
      <c r="A14" s="168" t="s">
        <v>30</v>
      </c>
      <c r="B14" s="168"/>
      <c r="C14" s="168"/>
      <c r="D14" s="168"/>
      <c r="E14" s="168"/>
      <c r="F14" s="168"/>
      <c r="G14" s="168"/>
      <c r="H14" s="168"/>
      <c r="I14" s="168"/>
    </row>
    <row r="15" spans="1:9" ht="51.75" customHeight="1">
      <c r="A15" s="169" t="s">
        <v>166</v>
      </c>
      <c r="B15" s="169"/>
      <c r="C15" s="169"/>
      <c r="D15" s="169"/>
      <c r="E15" s="169"/>
      <c r="F15" s="169"/>
      <c r="G15" s="169"/>
      <c r="H15" s="169"/>
      <c r="I15" s="169"/>
    </row>
    <row r="17" spans="1:9" ht="19.5">
      <c r="A17" s="168" t="s">
        <v>165</v>
      </c>
      <c r="B17" s="168"/>
      <c r="C17" s="168"/>
      <c r="D17" s="168"/>
      <c r="E17" s="168"/>
      <c r="F17" s="168"/>
      <c r="G17" s="168"/>
      <c r="H17" s="168"/>
      <c r="I17" s="168"/>
    </row>
    <row r="19" spans="1:9" ht="12.75">
      <c r="A19" s="164" t="s">
        <v>173</v>
      </c>
      <c r="B19" s="164"/>
      <c r="C19" s="164"/>
      <c r="D19" s="164"/>
      <c r="E19" s="164"/>
      <c r="F19" s="164"/>
      <c r="G19" s="164"/>
      <c r="H19" s="164"/>
      <c r="I19" s="164"/>
    </row>
    <row r="46" spans="1:9" ht="16.5">
      <c r="A46" s="165" t="s">
        <v>31</v>
      </c>
      <c r="B46" s="165"/>
      <c r="C46" s="165"/>
      <c r="D46" s="165"/>
      <c r="E46" s="165"/>
      <c r="F46" s="165"/>
      <c r="G46" s="165"/>
      <c r="H46" s="165"/>
      <c r="I46" s="165"/>
    </row>
    <row r="47" spans="1:9" ht="16.5">
      <c r="A47" s="165" t="s">
        <v>49</v>
      </c>
      <c r="B47" s="165"/>
      <c r="C47" s="165"/>
      <c r="D47" s="165"/>
      <c r="E47" s="165"/>
      <c r="F47" s="165"/>
      <c r="G47" s="165"/>
      <c r="H47" s="165"/>
      <c r="I47" s="165"/>
    </row>
  </sheetData>
  <sheetProtection/>
  <mergeCells count="10">
    <mergeCell ref="A19:I19"/>
    <mergeCell ref="A47:I47"/>
    <mergeCell ref="A1:B1"/>
    <mergeCell ref="A10:I10"/>
    <mergeCell ref="A11:I11"/>
    <mergeCell ref="A13:I13"/>
    <mergeCell ref="A14:I14"/>
    <mergeCell ref="A15:I15"/>
    <mergeCell ref="A46:I46"/>
    <mergeCell ref="A17:I17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Q95"/>
  <sheetViews>
    <sheetView showGridLines="0" tabSelected="1" view="pageBreakPreview" zoomScale="75" zoomScaleNormal="70" zoomScaleSheetLayoutView="75" zoomScalePageLayoutView="0" workbookViewId="0" topLeftCell="A1">
      <pane xSplit="1" ySplit="6" topLeftCell="X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38" sqref="D38"/>
    </sheetView>
  </sheetViews>
  <sheetFormatPr defaultColWidth="9.140625" defaultRowHeight="12.75"/>
  <cols>
    <col min="1" max="1" width="51.421875" style="6" customWidth="1"/>
    <col min="2" max="2" width="15.28125" style="6" customWidth="1"/>
    <col min="3" max="3" width="17.140625" style="7" customWidth="1"/>
    <col min="4" max="4" width="13.8515625" style="7" customWidth="1"/>
    <col min="5" max="5" width="15.421875" style="7" customWidth="1"/>
    <col min="6" max="7" width="13.421875" style="7" customWidth="1"/>
    <col min="8" max="8" width="17.421875" style="1" customWidth="1"/>
    <col min="9" max="9" width="14.7109375" style="1" customWidth="1"/>
    <col min="10" max="10" width="13.57421875" style="1" customWidth="1"/>
    <col min="11" max="11" width="15.140625" style="1" customWidth="1"/>
    <col min="12" max="12" width="14.7109375" style="1" customWidth="1"/>
    <col min="13" max="13" width="15.140625" style="1" customWidth="1"/>
    <col min="14" max="14" width="14.140625" style="1" customWidth="1"/>
    <col min="15" max="15" width="14.7109375" style="1" customWidth="1"/>
    <col min="16" max="16" width="14.421875" style="1" customWidth="1"/>
    <col min="17" max="17" width="15.00390625" style="1" customWidth="1"/>
    <col min="18" max="18" width="14.57421875" style="1" customWidth="1"/>
    <col min="19" max="19" width="14.8515625" style="1" customWidth="1"/>
    <col min="20" max="20" width="15.00390625" style="7" customWidth="1"/>
    <col min="21" max="31" width="16.140625" style="7" customWidth="1"/>
    <col min="32" max="32" width="58.140625" style="6" customWidth="1"/>
    <col min="33" max="33" width="3.7109375" style="1" customWidth="1"/>
    <col min="34" max="34" width="18.8515625" style="94" customWidth="1"/>
    <col min="35" max="16384" width="9.140625" style="1" customWidth="1"/>
  </cols>
  <sheetData>
    <row r="1" spans="1:19" ht="26.25" customHeight="1">
      <c r="A1" s="26"/>
      <c r="G1" s="102"/>
      <c r="H1" s="102"/>
      <c r="I1" s="24"/>
      <c r="J1" s="24"/>
      <c r="K1" s="24"/>
      <c r="O1" s="24"/>
      <c r="P1" s="24"/>
      <c r="Q1" s="24"/>
      <c r="R1" s="24"/>
      <c r="S1" s="24"/>
    </row>
    <row r="2" spans="1:19" ht="26.25" customHeight="1">
      <c r="A2" s="23"/>
      <c r="O2" s="170"/>
      <c r="P2" s="170"/>
      <c r="Q2" s="170"/>
      <c r="R2" s="170"/>
      <c r="S2" s="170"/>
    </row>
    <row r="3" spans="1:32" ht="26.25" customHeight="1">
      <c r="A3" s="23"/>
      <c r="O3" s="171"/>
      <c r="P3" s="171"/>
      <c r="Q3" s="171"/>
      <c r="R3" s="171"/>
      <c r="S3" s="171"/>
      <c r="AF3" s="8"/>
    </row>
    <row r="4" spans="1:34" s="9" customFormat="1" ht="69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L4" s="27"/>
      <c r="M4" s="27"/>
      <c r="N4" s="27"/>
      <c r="O4" s="27"/>
      <c r="P4" s="27"/>
      <c r="Q4" s="27"/>
      <c r="R4" s="27"/>
      <c r="S4" s="28" t="s">
        <v>14</v>
      </c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8" t="s">
        <v>14</v>
      </c>
      <c r="AH4" s="94"/>
    </row>
    <row r="5" spans="1:34" s="11" customFormat="1" ht="18.75" customHeight="1">
      <c r="A5" s="172" t="s">
        <v>5</v>
      </c>
      <c r="B5" s="173" t="s">
        <v>167</v>
      </c>
      <c r="C5" s="173" t="s">
        <v>19</v>
      </c>
      <c r="D5" s="173" t="s">
        <v>150</v>
      </c>
      <c r="E5" s="173" t="s">
        <v>20</v>
      </c>
      <c r="F5" s="176" t="s">
        <v>15</v>
      </c>
      <c r="G5" s="176"/>
      <c r="H5" s="176" t="s">
        <v>0</v>
      </c>
      <c r="I5" s="176"/>
      <c r="J5" s="176" t="s">
        <v>1</v>
      </c>
      <c r="K5" s="176"/>
      <c r="L5" s="176" t="s">
        <v>2</v>
      </c>
      <c r="M5" s="176"/>
      <c r="N5" s="176" t="s">
        <v>3</v>
      </c>
      <c r="O5" s="176"/>
      <c r="P5" s="176" t="s">
        <v>4</v>
      </c>
      <c r="Q5" s="176"/>
      <c r="R5" s="176" t="s">
        <v>6</v>
      </c>
      <c r="S5" s="176"/>
      <c r="T5" s="108" t="s">
        <v>7</v>
      </c>
      <c r="U5" s="108" t="s">
        <v>7</v>
      </c>
      <c r="V5" s="176" t="s">
        <v>8</v>
      </c>
      <c r="W5" s="176"/>
      <c r="X5" s="176" t="s">
        <v>9</v>
      </c>
      <c r="Y5" s="176"/>
      <c r="Z5" s="176" t="s">
        <v>10</v>
      </c>
      <c r="AA5" s="176"/>
      <c r="AB5" s="176" t="s">
        <v>11</v>
      </c>
      <c r="AC5" s="176"/>
      <c r="AD5" s="176" t="s">
        <v>12</v>
      </c>
      <c r="AE5" s="176"/>
      <c r="AF5" s="172" t="s">
        <v>21</v>
      </c>
      <c r="AH5" s="95"/>
    </row>
    <row r="6" spans="1:34" s="13" customFormat="1" ht="72.75" customHeight="1">
      <c r="A6" s="172"/>
      <c r="B6" s="174"/>
      <c r="C6" s="174"/>
      <c r="D6" s="175"/>
      <c r="E6" s="174"/>
      <c r="F6" s="10" t="s">
        <v>17</v>
      </c>
      <c r="G6" s="10" t="s">
        <v>16</v>
      </c>
      <c r="H6" s="12" t="s">
        <v>13</v>
      </c>
      <c r="I6" s="12" t="s">
        <v>18</v>
      </c>
      <c r="J6" s="12" t="s">
        <v>13</v>
      </c>
      <c r="K6" s="12" t="s">
        <v>18</v>
      </c>
      <c r="L6" s="12" t="s">
        <v>13</v>
      </c>
      <c r="M6" s="12" t="s">
        <v>18</v>
      </c>
      <c r="N6" s="12" t="s">
        <v>13</v>
      </c>
      <c r="O6" s="12" t="s">
        <v>18</v>
      </c>
      <c r="P6" s="12" t="s">
        <v>13</v>
      </c>
      <c r="Q6" s="12" t="s">
        <v>18</v>
      </c>
      <c r="R6" s="12" t="s">
        <v>13</v>
      </c>
      <c r="S6" s="12" t="s">
        <v>18</v>
      </c>
      <c r="T6" s="12" t="s">
        <v>13</v>
      </c>
      <c r="U6" s="12" t="s">
        <v>18</v>
      </c>
      <c r="V6" s="12" t="s">
        <v>13</v>
      </c>
      <c r="W6" s="12" t="s">
        <v>18</v>
      </c>
      <c r="X6" s="12" t="s">
        <v>13</v>
      </c>
      <c r="Y6" s="12" t="s">
        <v>18</v>
      </c>
      <c r="Z6" s="12" t="s">
        <v>13</v>
      </c>
      <c r="AA6" s="12" t="s">
        <v>18</v>
      </c>
      <c r="AB6" s="12" t="s">
        <v>13</v>
      </c>
      <c r="AC6" s="12" t="s">
        <v>18</v>
      </c>
      <c r="AD6" s="12" t="s">
        <v>13</v>
      </c>
      <c r="AE6" s="12" t="s">
        <v>18</v>
      </c>
      <c r="AF6" s="172"/>
      <c r="AH6" s="95"/>
    </row>
    <row r="7" spans="1:34" s="15" customFormat="1" ht="20.25" customHeight="1">
      <c r="A7" s="14">
        <v>1</v>
      </c>
      <c r="B7" s="14">
        <v>2</v>
      </c>
      <c r="C7" s="14">
        <v>3</v>
      </c>
      <c r="D7" s="14"/>
      <c r="E7" s="14">
        <v>4</v>
      </c>
      <c r="F7" s="14">
        <v>5</v>
      </c>
      <c r="G7" s="14">
        <v>6</v>
      </c>
      <c r="H7" s="14">
        <v>7</v>
      </c>
      <c r="I7" s="14">
        <v>8</v>
      </c>
      <c r="J7" s="14">
        <v>9</v>
      </c>
      <c r="K7" s="14">
        <v>10</v>
      </c>
      <c r="L7" s="14">
        <v>11</v>
      </c>
      <c r="M7" s="14">
        <v>12</v>
      </c>
      <c r="N7" s="14">
        <v>13</v>
      </c>
      <c r="O7" s="14">
        <v>14</v>
      </c>
      <c r="P7" s="14">
        <v>15</v>
      </c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4">
        <v>22</v>
      </c>
      <c r="X7" s="14">
        <v>23</v>
      </c>
      <c r="Y7" s="14">
        <v>24</v>
      </c>
      <c r="Z7" s="14">
        <v>25</v>
      </c>
      <c r="AA7" s="14">
        <v>26</v>
      </c>
      <c r="AB7" s="14">
        <v>27</v>
      </c>
      <c r="AC7" s="14">
        <v>28</v>
      </c>
      <c r="AD7" s="14">
        <v>29</v>
      </c>
      <c r="AE7" s="14">
        <v>30</v>
      </c>
      <c r="AF7" s="14">
        <v>31</v>
      </c>
      <c r="AH7" s="96"/>
    </row>
    <row r="8" spans="1:34" s="17" customFormat="1" ht="18.75">
      <c r="A8" s="29"/>
      <c r="B8" s="29"/>
      <c r="C8" s="29"/>
      <c r="D8" s="29"/>
      <c r="E8" s="29"/>
      <c r="F8" s="29"/>
      <c r="G8" s="29"/>
      <c r="H8" s="105"/>
      <c r="I8" s="105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16"/>
      <c r="Y8" s="16"/>
      <c r="Z8" s="16"/>
      <c r="AA8" s="16"/>
      <c r="AB8" s="16"/>
      <c r="AC8" s="16"/>
      <c r="AD8" s="16"/>
      <c r="AE8" s="16"/>
      <c r="AF8" s="103"/>
      <c r="AH8" s="97"/>
    </row>
    <row r="9" spans="1:34" s="17" customFormat="1" ht="18.75">
      <c r="A9" s="19" t="s">
        <v>168</v>
      </c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H9" s="97"/>
    </row>
    <row r="10" spans="1:34" s="18" customFormat="1" ht="48.75" customHeight="1">
      <c r="A10" s="114" t="s">
        <v>115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6"/>
      <c r="AH10" s="98"/>
    </row>
    <row r="11" spans="1:34" s="18" customFormat="1" ht="56.25">
      <c r="A11" s="5" t="s">
        <v>116</v>
      </c>
      <c r="B11" s="111"/>
      <c r="C11" s="112"/>
      <c r="D11" s="112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04"/>
      <c r="AH11" s="98"/>
    </row>
    <row r="12" spans="1:34" s="18" customFormat="1" ht="18.75">
      <c r="A12" s="4" t="s">
        <v>22</v>
      </c>
      <c r="B12" s="113"/>
      <c r="C12" s="112"/>
      <c r="D12" s="112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04"/>
      <c r="AH12" s="98"/>
    </row>
    <row r="13" spans="1:34" s="18" customFormat="1" ht="77.25" customHeight="1">
      <c r="A13" s="45" t="s">
        <v>117</v>
      </c>
      <c r="B13" s="113"/>
      <c r="C13" s="112"/>
      <c r="D13" s="112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77" t="s">
        <v>177</v>
      </c>
      <c r="AH13" s="98"/>
    </row>
    <row r="14" spans="1:34" s="18" customFormat="1" ht="18.75">
      <c r="A14" s="117" t="s">
        <v>32</v>
      </c>
      <c r="B14" s="127">
        <f>B15+B16</f>
        <v>5520.2</v>
      </c>
      <c r="C14" s="127">
        <f>C15+C16</f>
        <v>5520.2</v>
      </c>
      <c r="D14" s="127">
        <f>D15+D16</f>
        <v>5224.04029</v>
      </c>
      <c r="E14" s="127">
        <f>E15+E16</f>
        <v>4767.03</v>
      </c>
      <c r="F14" s="136">
        <f>E14/B14</f>
        <v>0.8635611028585921</v>
      </c>
      <c r="G14" s="136">
        <f>E14/C14</f>
        <v>0.8635611028585921</v>
      </c>
      <c r="H14" s="128">
        <f>H15+H16</f>
        <v>0</v>
      </c>
      <c r="I14" s="128">
        <f aca="true" t="shared" si="0" ref="I14:AE14">I15+I16</f>
        <v>0</v>
      </c>
      <c r="J14" s="128">
        <f t="shared" si="0"/>
        <v>0</v>
      </c>
      <c r="K14" s="128">
        <f t="shared" si="0"/>
        <v>0</v>
      </c>
      <c r="L14" s="128">
        <f t="shared" si="0"/>
        <v>0</v>
      </c>
      <c r="M14" s="128">
        <f t="shared" si="0"/>
        <v>0</v>
      </c>
      <c r="N14" s="128">
        <f t="shared" si="0"/>
        <v>0</v>
      </c>
      <c r="O14" s="128">
        <f t="shared" si="0"/>
        <v>0</v>
      </c>
      <c r="P14" s="128">
        <f t="shared" si="0"/>
        <v>0</v>
      </c>
      <c r="Q14" s="128">
        <f t="shared" si="0"/>
        <v>0</v>
      </c>
      <c r="R14" s="128">
        <f t="shared" si="0"/>
        <v>1840.14702</v>
      </c>
      <c r="S14" s="128">
        <f t="shared" si="0"/>
        <v>1795.3</v>
      </c>
      <c r="T14" s="128">
        <f t="shared" si="0"/>
        <v>1840.04649</v>
      </c>
      <c r="U14" s="128">
        <f t="shared" si="0"/>
        <v>1785.82</v>
      </c>
      <c r="V14" s="128">
        <f t="shared" si="0"/>
        <v>1840.0064899999998</v>
      </c>
      <c r="W14" s="128">
        <f t="shared" si="0"/>
        <v>1185.91</v>
      </c>
      <c r="X14" s="128">
        <f t="shared" si="0"/>
        <v>0</v>
      </c>
      <c r="Y14" s="128">
        <f t="shared" si="0"/>
        <v>0</v>
      </c>
      <c r="Z14" s="128">
        <f t="shared" si="0"/>
        <v>0</v>
      </c>
      <c r="AA14" s="128">
        <f t="shared" si="0"/>
        <v>0</v>
      </c>
      <c r="AB14" s="128">
        <f t="shared" si="0"/>
        <v>0</v>
      </c>
      <c r="AC14" s="128">
        <f t="shared" si="0"/>
        <v>0</v>
      </c>
      <c r="AD14" s="128">
        <f t="shared" si="0"/>
        <v>0</v>
      </c>
      <c r="AE14" s="128">
        <f t="shared" si="0"/>
        <v>0</v>
      </c>
      <c r="AF14" s="178"/>
      <c r="AH14" s="98"/>
    </row>
    <row r="15" spans="1:34" s="152" customFormat="1" ht="18.75">
      <c r="A15" s="148" t="s">
        <v>24</v>
      </c>
      <c r="B15" s="149">
        <f>H15+J15+L15+N15+P15+R15+T15+V15+X15+Z15+AB15+AD15</f>
        <v>840</v>
      </c>
      <c r="C15" s="150">
        <f>R15+T15+V15</f>
        <v>840</v>
      </c>
      <c r="D15" s="150">
        <f>543840.29/1000</f>
        <v>543.84029</v>
      </c>
      <c r="E15" s="150">
        <f>I15+K15+M15+O15+Q15+S15+U15+W15+Y15+AA15+AC15+AE15</f>
        <v>407.09000000000003</v>
      </c>
      <c r="F15" s="151">
        <f>E15/B15</f>
        <v>0.48463095238095244</v>
      </c>
      <c r="G15" s="151">
        <f>E15/C15</f>
        <v>0.48463095238095244</v>
      </c>
      <c r="H15" s="150">
        <v>0</v>
      </c>
      <c r="I15" s="150">
        <v>0</v>
      </c>
      <c r="J15" s="150">
        <v>0</v>
      </c>
      <c r="K15" s="150">
        <v>0</v>
      </c>
      <c r="L15" s="150">
        <v>0</v>
      </c>
      <c r="M15" s="150">
        <v>0</v>
      </c>
      <c r="N15" s="150">
        <v>0</v>
      </c>
      <c r="O15" s="150">
        <v>0</v>
      </c>
      <c r="P15" s="150">
        <v>0</v>
      </c>
      <c r="Q15" s="150">
        <v>0</v>
      </c>
      <c r="R15" s="150">
        <f>262660/1000</f>
        <v>262.66</v>
      </c>
      <c r="S15" s="150">
        <v>236.02</v>
      </c>
      <c r="T15" s="150">
        <f>47075/1000</f>
        <v>47.075</v>
      </c>
      <c r="U15" s="150">
        <v>0</v>
      </c>
      <c r="V15" s="150">
        <f>530265/1000</f>
        <v>530.265</v>
      </c>
      <c r="W15" s="150">
        <v>171.07</v>
      </c>
      <c r="X15" s="150">
        <v>0</v>
      </c>
      <c r="Y15" s="150">
        <v>0</v>
      </c>
      <c r="Z15" s="150">
        <v>0</v>
      </c>
      <c r="AA15" s="150">
        <v>0</v>
      </c>
      <c r="AB15" s="150">
        <v>0</v>
      </c>
      <c r="AC15" s="150">
        <v>0</v>
      </c>
      <c r="AD15" s="150">
        <v>0</v>
      </c>
      <c r="AE15" s="150">
        <v>0</v>
      </c>
      <c r="AF15" s="178"/>
      <c r="AH15" s="153"/>
    </row>
    <row r="16" spans="1:34" s="152" customFormat="1" ht="54.75" customHeight="1">
      <c r="A16" s="148" t="s">
        <v>25</v>
      </c>
      <c r="B16" s="149">
        <f>H16+J16+L16+N16+P16+R16+T16+V16+X16+Z16+AB16+AD16</f>
        <v>4680.2</v>
      </c>
      <c r="C16" s="150">
        <f>R16+T16+V16</f>
        <v>4680.2</v>
      </c>
      <c r="D16" s="150">
        <f>4680200/1000</f>
        <v>4680.2</v>
      </c>
      <c r="E16" s="150">
        <f>I16+K16+M16+O16+Q16+S16+U16+W16+Y16+AA16+AC16+AE16</f>
        <v>4359.94</v>
      </c>
      <c r="F16" s="151">
        <f>E16/B16</f>
        <v>0.9315713003717789</v>
      </c>
      <c r="G16" s="151">
        <f>E16/C16</f>
        <v>0.9315713003717789</v>
      </c>
      <c r="H16" s="150">
        <v>0</v>
      </c>
      <c r="I16" s="150">
        <v>0</v>
      </c>
      <c r="J16" s="150">
        <v>0</v>
      </c>
      <c r="K16" s="150">
        <v>0</v>
      </c>
      <c r="L16" s="150">
        <v>0</v>
      </c>
      <c r="M16" s="150">
        <v>0</v>
      </c>
      <c r="N16" s="150">
        <v>0</v>
      </c>
      <c r="O16" s="150">
        <v>0</v>
      </c>
      <c r="P16" s="150">
        <v>0</v>
      </c>
      <c r="Q16" s="150">
        <v>0</v>
      </c>
      <c r="R16" s="150">
        <f>1577487.02/1000</f>
        <v>1577.48702</v>
      </c>
      <c r="S16" s="150">
        <v>1559.28</v>
      </c>
      <c r="T16" s="150">
        <f>1792971.49/1000</f>
        <v>1792.97149</v>
      </c>
      <c r="U16" s="150">
        <v>1785.82</v>
      </c>
      <c r="V16" s="150">
        <f>1309741.49/1000</f>
        <v>1309.7414899999999</v>
      </c>
      <c r="W16" s="150">
        <v>1014.84</v>
      </c>
      <c r="X16" s="150">
        <v>0</v>
      </c>
      <c r="Y16" s="150">
        <v>0</v>
      </c>
      <c r="Z16" s="150">
        <v>0</v>
      </c>
      <c r="AA16" s="150">
        <v>0</v>
      </c>
      <c r="AB16" s="150">
        <v>0</v>
      </c>
      <c r="AC16" s="150">
        <v>0</v>
      </c>
      <c r="AD16" s="150">
        <v>0</v>
      </c>
      <c r="AE16" s="150">
        <v>0</v>
      </c>
      <c r="AF16" s="179"/>
      <c r="AH16" s="153"/>
    </row>
    <row r="17" spans="1:34" s="18" customFormat="1" ht="76.5" customHeight="1">
      <c r="A17" s="46" t="s">
        <v>118</v>
      </c>
      <c r="B17" s="130"/>
      <c r="C17" s="131"/>
      <c r="D17" s="131"/>
      <c r="E17" s="131"/>
      <c r="F17" s="138"/>
      <c r="G17" s="138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77" t="s">
        <v>178</v>
      </c>
      <c r="AH17" s="98"/>
    </row>
    <row r="18" spans="1:34" s="18" customFormat="1" ht="18.75" customHeight="1">
      <c r="A18" s="117" t="s">
        <v>32</v>
      </c>
      <c r="B18" s="127">
        <f>B20+B19</f>
        <v>644</v>
      </c>
      <c r="C18" s="127">
        <f>C20+C19</f>
        <v>367.99300999999997</v>
      </c>
      <c r="D18" s="127">
        <f>D20+D19</f>
        <v>354.59391000000005</v>
      </c>
      <c r="E18" s="127">
        <f>E20+E19</f>
        <v>295.28</v>
      </c>
      <c r="F18" s="136">
        <f>E18/B18</f>
        <v>0.4585093167701863</v>
      </c>
      <c r="G18" s="136">
        <f aca="true" t="shared" si="1" ref="G18:G24">E18/C18</f>
        <v>0.8024065457112894</v>
      </c>
      <c r="H18" s="127">
        <f>H20+H19</f>
        <v>33.989599999999996</v>
      </c>
      <c r="I18" s="127">
        <f aca="true" t="shared" si="2" ref="I18:AE18">I20+I19</f>
        <v>0</v>
      </c>
      <c r="J18" s="127">
        <f t="shared" si="2"/>
        <v>33.9896</v>
      </c>
      <c r="K18" s="127">
        <f t="shared" si="2"/>
        <v>40.94</v>
      </c>
      <c r="L18" s="127">
        <f t="shared" si="2"/>
        <v>99.97375</v>
      </c>
      <c r="M18" s="127">
        <f t="shared" si="2"/>
        <v>45.25</v>
      </c>
      <c r="N18" s="127">
        <f t="shared" si="2"/>
        <v>100.01803</v>
      </c>
      <c r="O18" s="127">
        <f t="shared" si="2"/>
        <v>98.22999999999999</v>
      </c>
      <c r="P18" s="127">
        <f t="shared" si="2"/>
        <v>100.02203</v>
      </c>
      <c r="Q18" s="127">
        <f t="shared" si="2"/>
        <v>110.86</v>
      </c>
      <c r="R18" s="127">
        <f t="shared" si="2"/>
        <v>0</v>
      </c>
      <c r="S18" s="127">
        <f t="shared" si="2"/>
        <v>0</v>
      </c>
      <c r="T18" s="127">
        <f t="shared" si="2"/>
        <v>0</v>
      </c>
      <c r="U18" s="127">
        <f t="shared" si="2"/>
        <v>0</v>
      </c>
      <c r="V18" s="127">
        <f t="shared" si="2"/>
        <v>0</v>
      </c>
      <c r="W18" s="127">
        <f t="shared" si="2"/>
        <v>0</v>
      </c>
      <c r="X18" s="127">
        <f t="shared" si="2"/>
        <v>92.00233</v>
      </c>
      <c r="Y18" s="127">
        <f t="shared" si="2"/>
        <v>0</v>
      </c>
      <c r="Z18" s="127">
        <f t="shared" si="2"/>
        <v>92.00233</v>
      </c>
      <c r="AA18" s="127">
        <f t="shared" si="2"/>
        <v>0</v>
      </c>
      <c r="AB18" s="127">
        <f t="shared" si="2"/>
        <v>92.00233</v>
      </c>
      <c r="AC18" s="127">
        <f t="shared" si="2"/>
        <v>0</v>
      </c>
      <c r="AD18" s="127">
        <f t="shared" si="2"/>
        <v>0</v>
      </c>
      <c r="AE18" s="127">
        <f t="shared" si="2"/>
        <v>0</v>
      </c>
      <c r="AF18" s="178"/>
      <c r="AH18" s="98"/>
    </row>
    <row r="19" spans="1:34" s="152" customFormat="1" ht="18.75" customHeight="1">
      <c r="A19" s="148" t="s">
        <v>24</v>
      </c>
      <c r="B19" s="149">
        <f>H19+J19+L19+N19+P19+R19+T19+V19+X19+Z19+AB19+AD19</f>
        <v>98</v>
      </c>
      <c r="C19" s="150">
        <f>H19+J19+L19+N19+P19+R19+T19+V19</f>
        <v>56</v>
      </c>
      <c r="D19" s="150">
        <f>42600.9/1000</f>
        <v>42.6009</v>
      </c>
      <c r="E19" s="150">
        <f>I19+K19+M19+O19+Q19+S19+U19+W19+Y19+AA19+AC19+AE19</f>
        <v>20.39</v>
      </c>
      <c r="F19" s="151">
        <f>E19/B19</f>
        <v>0.20806122448979592</v>
      </c>
      <c r="G19" s="151">
        <f>E19/C19</f>
        <v>0.36410714285714285</v>
      </c>
      <c r="H19" s="150">
        <v>0</v>
      </c>
      <c r="I19" s="150">
        <v>0</v>
      </c>
      <c r="J19" s="150">
        <f>2604/1000</f>
        <v>2.604</v>
      </c>
      <c r="K19" s="150">
        <v>2</v>
      </c>
      <c r="L19" s="150">
        <f>17786.66/1000</f>
        <v>17.78666</v>
      </c>
      <c r="M19" s="150">
        <v>3.21</v>
      </c>
      <c r="N19" s="150">
        <f>17798.67/1000</f>
        <v>17.798669999999998</v>
      </c>
      <c r="O19" s="150">
        <v>15.18</v>
      </c>
      <c r="P19" s="150">
        <f>17810.67/1000</f>
        <v>17.81067</v>
      </c>
      <c r="Q19" s="150">
        <v>0</v>
      </c>
      <c r="R19" s="150">
        <v>0</v>
      </c>
      <c r="S19" s="150">
        <v>0</v>
      </c>
      <c r="T19" s="150">
        <v>0</v>
      </c>
      <c r="U19" s="150"/>
      <c r="V19" s="150">
        <v>0</v>
      </c>
      <c r="W19" s="150">
        <v>0</v>
      </c>
      <c r="X19" s="150">
        <f>14000/1000</f>
        <v>14</v>
      </c>
      <c r="Y19" s="150">
        <v>0</v>
      </c>
      <c r="Z19" s="150">
        <f>14000/1000</f>
        <v>14</v>
      </c>
      <c r="AA19" s="150">
        <v>0</v>
      </c>
      <c r="AB19" s="150">
        <f>14000/1000</f>
        <v>14</v>
      </c>
      <c r="AC19" s="150">
        <v>0</v>
      </c>
      <c r="AD19" s="150">
        <v>0</v>
      </c>
      <c r="AE19" s="150">
        <v>0</v>
      </c>
      <c r="AF19" s="178"/>
      <c r="AG19" s="154"/>
      <c r="AH19" s="153"/>
    </row>
    <row r="20" spans="1:34" s="152" customFormat="1" ht="29.25" customHeight="1">
      <c r="A20" s="148" t="s">
        <v>25</v>
      </c>
      <c r="B20" s="149">
        <f>H20+J20+L20+N20+P20+R20+T20+V20+X20+Z20+AB20+AD20</f>
        <v>546</v>
      </c>
      <c r="C20" s="150">
        <f>H20+J20+L20+N20+P20+R20+T20+V20</f>
        <v>311.99300999999997</v>
      </c>
      <c r="D20" s="150">
        <f>311993.01/1000</f>
        <v>311.99301</v>
      </c>
      <c r="E20" s="150">
        <f>I20+K20+M20+O20+Q20+S20+U20+W20+Y20+AA20+AC20+AE20</f>
        <v>274.89</v>
      </c>
      <c r="F20" s="151">
        <f>E20/B20</f>
        <v>0.5034615384615384</v>
      </c>
      <c r="G20" s="151">
        <f t="shared" si="1"/>
        <v>0.8810774318309247</v>
      </c>
      <c r="H20" s="150">
        <f>33989.6/1000</f>
        <v>33.989599999999996</v>
      </c>
      <c r="I20" s="150">
        <v>0</v>
      </c>
      <c r="J20" s="150">
        <f>31385.6/1000</f>
        <v>31.3856</v>
      </c>
      <c r="K20" s="150">
        <v>38.94</v>
      </c>
      <c r="L20" s="150">
        <f>82187.09/1000</f>
        <v>82.18709</v>
      </c>
      <c r="M20" s="150">
        <v>42.04</v>
      </c>
      <c r="N20" s="150">
        <f>82219.36/1000</f>
        <v>82.21936</v>
      </c>
      <c r="O20" s="150">
        <v>83.05</v>
      </c>
      <c r="P20" s="150">
        <f>82211.36/1000</f>
        <v>82.21136</v>
      </c>
      <c r="Q20" s="150">
        <v>110.86</v>
      </c>
      <c r="R20" s="150">
        <v>0</v>
      </c>
      <c r="S20" s="150">
        <v>0</v>
      </c>
      <c r="T20" s="150">
        <v>0</v>
      </c>
      <c r="U20" s="150">
        <v>0</v>
      </c>
      <c r="V20" s="150">
        <v>0</v>
      </c>
      <c r="W20" s="150">
        <v>0</v>
      </c>
      <c r="X20" s="150">
        <f>78002.33/1000</f>
        <v>78.00233</v>
      </c>
      <c r="Y20" s="150">
        <v>0</v>
      </c>
      <c r="Z20" s="150">
        <f>78002.33/1000</f>
        <v>78.00233</v>
      </c>
      <c r="AA20" s="150">
        <v>0</v>
      </c>
      <c r="AB20" s="150">
        <f>78002.33/1000</f>
        <v>78.00233</v>
      </c>
      <c r="AC20" s="150">
        <v>0</v>
      </c>
      <c r="AD20" s="150">
        <v>0</v>
      </c>
      <c r="AE20" s="150">
        <v>0</v>
      </c>
      <c r="AF20" s="179"/>
      <c r="AG20" s="154"/>
      <c r="AH20" s="153"/>
    </row>
    <row r="21" spans="1:34" s="18" customFormat="1" ht="75" customHeight="1">
      <c r="A21" s="45" t="s">
        <v>119</v>
      </c>
      <c r="B21" s="129"/>
      <c r="C21" s="131"/>
      <c r="D21" s="131"/>
      <c r="E21" s="131"/>
      <c r="F21" s="138"/>
      <c r="G21" s="138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80" t="s">
        <v>179</v>
      </c>
      <c r="AH21" s="98"/>
    </row>
    <row r="22" spans="1:34" s="18" customFormat="1" ht="20.25">
      <c r="A22" s="117" t="s">
        <v>32</v>
      </c>
      <c r="B22" s="127">
        <f>B23+B24</f>
        <v>788.5999999999999</v>
      </c>
      <c r="C22" s="127">
        <f>C23+C24</f>
        <v>541.40802</v>
      </c>
      <c r="D22" s="127">
        <f>D23+D24</f>
        <v>409.00082</v>
      </c>
      <c r="E22" s="127">
        <f>E23+E24</f>
        <v>255.88000000000002</v>
      </c>
      <c r="F22" s="136">
        <f>E22/B22</f>
        <v>0.3244737509510526</v>
      </c>
      <c r="G22" s="136">
        <f t="shared" si="1"/>
        <v>0.4726195227030439</v>
      </c>
      <c r="H22" s="128">
        <f aca="true" t="shared" si="3" ref="H22:AE22">H23+H24</f>
        <v>31.8</v>
      </c>
      <c r="I22" s="128">
        <f t="shared" si="3"/>
        <v>0</v>
      </c>
      <c r="J22" s="128">
        <f t="shared" si="3"/>
        <v>33.73655</v>
      </c>
      <c r="K22" s="128">
        <f t="shared" si="3"/>
        <v>7.22</v>
      </c>
      <c r="L22" s="128">
        <f t="shared" si="3"/>
        <v>92.03535</v>
      </c>
      <c r="M22" s="128">
        <f t="shared" si="3"/>
        <v>48.6</v>
      </c>
      <c r="N22" s="128">
        <f t="shared" si="3"/>
        <v>68.34758</v>
      </c>
      <c r="O22" s="128">
        <f t="shared" si="3"/>
        <v>74.18</v>
      </c>
      <c r="P22" s="128">
        <f t="shared" si="3"/>
        <v>89.42568</v>
      </c>
      <c r="Q22" s="128">
        <f t="shared" si="3"/>
        <v>23.75</v>
      </c>
      <c r="R22" s="128">
        <f t="shared" si="3"/>
        <v>68.34458</v>
      </c>
      <c r="S22" s="128">
        <f t="shared" si="3"/>
        <v>38</v>
      </c>
      <c r="T22" s="128">
        <f t="shared" si="3"/>
        <v>89.37369</v>
      </c>
      <c r="U22" s="128">
        <f t="shared" si="3"/>
        <v>15.39</v>
      </c>
      <c r="V22" s="128">
        <f t="shared" si="3"/>
        <v>68.34459</v>
      </c>
      <c r="W22" s="128">
        <f t="shared" si="3"/>
        <v>48.739999999999995</v>
      </c>
      <c r="X22" s="128">
        <f t="shared" si="3"/>
        <v>89.37369</v>
      </c>
      <c r="Y22" s="128">
        <f t="shared" si="3"/>
        <v>0</v>
      </c>
      <c r="Z22" s="128">
        <f t="shared" si="3"/>
        <v>70.38833</v>
      </c>
      <c r="AA22" s="128">
        <f t="shared" si="3"/>
        <v>0</v>
      </c>
      <c r="AB22" s="128">
        <f t="shared" si="3"/>
        <v>87.42996</v>
      </c>
      <c r="AC22" s="128">
        <f t="shared" si="3"/>
        <v>0</v>
      </c>
      <c r="AD22" s="128">
        <f t="shared" si="3"/>
        <v>0</v>
      </c>
      <c r="AE22" s="128">
        <f t="shared" si="3"/>
        <v>0</v>
      </c>
      <c r="AF22" s="181"/>
      <c r="AG22" s="92"/>
      <c r="AH22" s="99"/>
    </row>
    <row r="23" spans="1:34" s="152" customFormat="1" ht="20.25" customHeight="1">
      <c r="A23" s="148" t="s">
        <v>24</v>
      </c>
      <c r="B23" s="149">
        <f>H23+J23+L23+N23+P23+R23+T23+V23+X23+Z23+AB23+AD23</f>
        <v>477.29999999999995</v>
      </c>
      <c r="C23" s="150">
        <f>H23+J23+L23+N23+P23+R23+T23+V23</f>
        <v>311.768</v>
      </c>
      <c r="D23" s="150">
        <f>179360.8/1000</f>
        <v>179.36079999999998</v>
      </c>
      <c r="E23" s="150">
        <f>I23+K23+M23+O23+Q23+S23+U23+W23+Y23+AA23+AC23+AE23</f>
        <v>157.14000000000001</v>
      </c>
      <c r="F23" s="151">
        <f>E23/B23</f>
        <v>0.32922690131992466</v>
      </c>
      <c r="G23" s="151">
        <f>E23/C23</f>
        <v>0.5040286366785559</v>
      </c>
      <c r="H23" s="150">
        <v>0</v>
      </c>
      <c r="I23" s="150">
        <v>0</v>
      </c>
      <c r="J23" s="150">
        <f>33736.55/1000</f>
        <v>33.73655</v>
      </c>
      <c r="K23" s="150">
        <v>7.22</v>
      </c>
      <c r="L23" s="150">
        <f>55259.45/1000</f>
        <v>55.259449999999994</v>
      </c>
      <c r="M23" s="150">
        <v>48.6</v>
      </c>
      <c r="N23" s="150">
        <f>44544/1000</f>
        <v>44.544</v>
      </c>
      <c r="O23" s="150">
        <v>72.45</v>
      </c>
      <c r="P23" s="150">
        <f>44596/1000</f>
        <v>44.596</v>
      </c>
      <c r="Q23" s="150">
        <v>4.97</v>
      </c>
      <c r="R23" s="150">
        <f>44544/1000</f>
        <v>44.544</v>
      </c>
      <c r="S23" s="150">
        <v>0</v>
      </c>
      <c r="T23" s="150">
        <f>44544/1000</f>
        <v>44.544</v>
      </c>
      <c r="U23" s="150"/>
      <c r="V23" s="150">
        <f>44544/1000</f>
        <v>44.544</v>
      </c>
      <c r="W23" s="150">
        <v>23.9</v>
      </c>
      <c r="X23" s="150">
        <f>44544/1000</f>
        <v>44.544</v>
      </c>
      <c r="Y23" s="150">
        <v>0</v>
      </c>
      <c r="Z23" s="150">
        <f>46587.74/1000</f>
        <v>46.58774</v>
      </c>
      <c r="AA23" s="150">
        <v>0</v>
      </c>
      <c r="AB23" s="150">
        <f>74400.26/1000</f>
        <v>74.40025999999999</v>
      </c>
      <c r="AC23" s="150">
        <v>0</v>
      </c>
      <c r="AD23" s="150"/>
      <c r="AE23" s="150">
        <v>0</v>
      </c>
      <c r="AF23" s="181"/>
      <c r="AG23" s="155"/>
      <c r="AH23" s="156"/>
    </row>
    <row r="24" spans="1:34" s="152" customFormat="1" ht="20.25">
      <c r="A24" s="148" t="s">
        <v>25</v>
      </c>
      <c r="B24" s="149">
        <f>H24+J24+L24+N24+P24+R24+T24+V24+X24+Z24+AB24+AD24</f>
        <v>311.29999999999995</v>
      </c>
      <c r="C24" s="150">
        <f>H24+J24+L24+N24+P24+R24+T24+V24</f>
        <v>229.64002</v>
      </c>
      <c r="D24" s="150">
        <f>229640.02/1000</f>
        <v>229.64002</v>
      </c>
      <c r="E24" s="150">
        <f>I24+K24+M24+O24+Q24+S24+U24+W24+Y24+AA24+AC24+AE24</f>
        <v>98.74000000000001</v>
      </c>
      <c r="F24" s="151">
        <f>E24/B24</f>
        <v>0.3171859942177964</v>
      </c>
      <c r="G24" s="151">
        <f t="shared" si="1"/>
        <v>0.42997731841340203</v>
      </c>
      <c r="H24" s="150">
        <f>31800/1000</f>
        <v>31.8</v>
      </c>
      <c r="I24" s="150">
        <v>0</v>
      </c>
      <c r="J24" s="150">
        <v>0</v>
      </c>
      <c r="K24" s="150">
        <v>0</v>
      </c>
      <c r="L24" s="150">
        <f>36775.9/1000</f>
        <v>36.7759</v>
      </c>
      <c r="M24" s="150">
        <v>0</v>
      </c>
      <c r="N24" s="150">
        <f>23803.58/1000</f>
        <v>23.80358</v>
      </c>
      <c r="O24" s="150">
        <v>1.73</v>
      </c>
      <c r="P24" s="150">
        <f>44829.68/1000</f>
        <v>44.82968</v>
      </c>
      <c r="Q24" s="150">
        <v>18.78</v>
      </c>
      <c r="R24" s="150">
        <f>23800.58/1000</f>
        <v>23.80058</v>
      </c>
      <c r="S24" s="150">
        <v>38</v>
      </c>
      <c r="T24" s="150">
        <f>44829.69/1000</f>
        <v>44.82969</v>
      </c>
      <c r="U24" s="150">
        <v>15.39</v>
      </c>
      <c r="V24" s="150">
        <f>23800.59/1000</f>
        <v>23.80059</v>
      </c>
      <c r="W24" s="150">
        <v>24.84</v>
      </c>
      <c r="X24" s="150">
        <f>44829.69/1000</f>
        <v>44.82969</v>
      </c>
      <c r="Y24" s="150">
        <v>0</v>
      </c>
      <c r="Z24" s="150">
        <f>23800.59/1000</f>
        <v>23.80059</v>
      </c>
      <c r="AA24" s="150">
        <v>0</v>
      </c>
      <c r="AB24" s="150">
        <f>13029.7/1000</f>
        <v>13.0297</v>
      </c>
      <c r="AC24" s="150">
        <v>0</v>
      </c>
      <c r="AD24" s="150">
        <v>0</v>
      </c>
      <c r="AE24" s="150">
        <v>0</v>
      </c>
      <c r="AF24" s="182"/>
      <c r="AG24" s="155"/>
      <c r="AH24" s="156"/>
    </row>
    <row r="25" spans="1:34" s="18" customFormat="1" ht="96" customHeight="1">
      <c r="A25" s="45" t="s">
        <v>120</v>
      </c>
      <c r="B25" s="129"/>
      <c r="C25" s="131"/>
      <c r="D25" s="131"/>
      <c r="E25" s="131"/>
      <c r="F25" s="138"/>
      <c r="G25" s="138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77" t="s">
        <v>176</v>
      </c>
      <c r="AH25" s="98"/>
    </row>
    <row r="26" spans="1:34" s="18" customFormat="1" ht="18.75">
      <c r="A26" s="117" t="s">
        <v>32</v>
      </c>
      <c r="B26" s="127">
        <f aca="true" t="shared" si="4" ref="B26:AE26">B27</f>
        <v>565.0000000000001</v>
      </c>
      <c r="C26" s="127">
        <f t="shared" si="4"/>
        <v>557.2620000000001</v>
      </c>
      <c r="D26" s="127">
        <f t="shared" si="4"/>
        <v>557.262</v>
      </c>
      <c r="E26" s="127">
        <f t="shared" si="4"/>
        <v>406.33</v>
      </c>
      <c r="F26" s="136">
        <f>E26/B26</f>
        <v>0.7191681415929202</v>
      </c>
      <c r="G26" s="136">
        <f>E26/C26</f>
        <v>0.7291543295613193</v>
      </c>
      <c r="H26" s="128">
        <f t="shared" si="4"/>
        <v>0</v>
      </c>
      <c r="I26" s="128">
        <f t="shared" si="4"/>
        <v>0</v>
      </c>
      <c r="J26" s="128">
        <f t="shared" si="4"/>
        <v>7.738</v>
      </c>
      <c r="K26" s="128">
        <f t="shared" si="4"/>
        <v>5.97</v>
      </c>
      <c r="L26" s="128">
        <f t="shared" si="4"/>
        <v>0</v>
      </c>
      <c r="M26" s="128">
        <f t="shared" si="4"/>
        <v>1.77</v>
      </c>
      <c r="N26" s="128">
        <f t="shared" si="4"/>
        <v>89.648</v>
      </c>
      <c r="O26" s="128">
        <f t="shared" si="4"/>
        <v>21.75</v>
      </c>
      <c r="P26" s="128">
        <f t="shared" si="4"/>
        <v>444.4</v>
      </c>
      <c r="Q26" s="128">
        <f t="shared" si="4"/>
        <v>33.35</v>
      </c>
      <c r="R26" s="128">
        <f t="shared" si="4"/>
        <v>7.738</v>
      </c>
      <c r="S26" s="128">
        <f t="shared" si="4"/>
        <v>144.67</v>
      </c>
      <c r="T26" s="128">
        <f t="shared" si="4"/>
        <v>0</v>
      </c>
      <c r="U26" s="128">
        <f t="shared" si="4"/>
        <v>193.18</v>
      </c>
      <c r="V26" s="128">
        <f t="shared" si="4"/>
        <v>7.738</v>
      </c>
      <c r="W26" s="128">
        <f t="shared" si="4"/>
        <v>5.64</v>
      </c>
      <c r="X26" s="128">
        <f t="shared" si="4"/>
        <v>0</v>
      </c>
      <c r="Y26" s="128">
        <f t="shared" si="4"/>
        <v>0</v>
      </c>
      <c r="Z26" s="128">
        <f t="shared" si="4"/>
        <v>7.738</v>
      </c>
      <c r="AA26" s="128">
        <f t="shared" si="4"/>
        <v>0</v>
      </c>
      <c r="AB26" s="128">
        <f t="shared" si="4"/>
        <v>0</v>
      </c>
      <c r="AC26" s="128">
        <f t="shared" si="4"/>
        <v>0</v>
      </c>
      <c r="AD26" s="128">
        <f t="shared" si="4"/>
        <v>0</v>
      </c>
      <c r="AE26" s="128">
        <f t="shared" si="4"/>
        <v>0</v>
      </c>
      <c r="AF26" s="178"/>
      <c r="AH26" s="98"/>
    </row>
    <row r="27" spans="1:34" s="152" customFormat="1" ht="18.75">
      <c r="A27" s="148" t="s">
        <v>25</v>
      </c>
      <c r="B27" s="149">
        <f>H27+J27+L27+N27+P27+R27+T27+V27+X27+Z27+AB27+AD27</f>
        <v>565.0000000000001</v>
      </c>
      <c r="C27" s="150">
        <f>H27+J27+T27+L27+N27+P27+R27+V27</f>
        <v>557.2620000000001</v>
      </c>
      <c r="D27" s="150">
        <f>557262/1000</f>
        <v>557.262</v>
      </c>
      <c r="E27" s="150">
        <f>I27+K27+M27+O27+Q27+S27+U27+W27+Y27+AA27+AC27+AE27</f>
        <v>406.33</v>
      </c>
      <c r="F27" s="151">
        <f>E27/B27</f>
        <v>0.7191681415929202</v>
      </c>
      <c r="G27" s="151">
        <f>E27/C27</f>
        <v>0.7291543295613193</v>
      </c>
      <c r="H27" s="150">
        <v>0</v>
      </c>
      <c r="I27" s="150">
        <v>0</v>
      </c>
      <c r="J27" s="150">
        <f>7738/1000</f>
        <v>7.738</v>
      </c>
      <c r="K27" s="150">
        <v>5.97</v>
      </c>
      <c r="L27" s="150">
        <v>0</v>
      </c>
      <c r="M27" s="150">
        <v>1.77</v>
      </c>
      <c r="N27" s="150">
        <f>89648/1000</f>
        <v>89.648</v>
      </c>
      <c r="O27" s="150">
        <v>21.75</v>
      </c>
      <c r="P27" s="150">
        <f>444400/1000</f>
        <v>444.4</v>
      </c>
      <c r="Q27" s="150">
        <v>33.35</v>
      </c>
      <c r="R27" s="150">
        <f>7738/1000</f>
        <v>7.738</v>
      </c>
      <c r="S27" s="150">
        <v>144.67</v>
      </c>
      <c r="T27" s="150">
        <v>0</v>
      </c>
      <c r="U27" s="150">
        <v>193.18</v>
      </c>
      <c r="V27" s="150">
        <f>7738/1000</f>
        <v>7.738</v>
      </c>
      <c r="W27" s="150">
        <v>5.64</v>
      </c>
      <c r="X27" s="150">
        <v>0</v>
      </c>
      <c r="Y27" s="150">
        <v>0</v>
      </c>
      <c r="Z27" s="150">
        <f>7738/1000</f>
        <v>7.738</v>
      </c>
      <c r="AA27" s="150">
        <v>0</v>
      </c>
      <c r="AB27" s="150">
        <v>0</v>
      </c>
      <c r="AC27" s="150">
        <v>0</v>
      </c>
      <c r="AD27" s="150">
        <v>0</v>
      </c>
      <c r="AE27" s="150">
        <v>0</v>
      </c>
      <c r="AF27" s="179"/>
      <c r="AH27" s="153"/>
    </row>
    <row r="28" spans="1:34" s="18" customFormat="1" ht="51">
      <c r="A28" s="45" t="s">
        <v>121</v>
      </c>
      <c r="B28" s="129"/>
      <c r="C28" s="131"/>
      <c r="D28" s="131"/>
      <c r="E28" s="131"/>
      <c r="F28" s="138"/>
      <c r="G28" s="137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23" t="s">
        <v>180</v>
      </c>
      <c r="AH28" s="98"/>
    </row>
    <row r="29" spans="1:34" s="18" customFormat="1" ht="20.25">
      <c r="A29" s="117" t="s">
        <v>32</v>
      </c>
      <c r="B29" s="127">
        <f>B30</f>
        <v>1393.3000000000002</v>
      </c>
      <c r="C29" s="127">
        <f aca="true" t="shared" si="5" ref="C29:AE29">C30</f>
        <v>1393.3000000000002</v>
      </c>
      <c r="D29" s="127">
        <f t="shared" si="5"/>
        <v>1393.3</v>
      </c>
      <c r="E29" s="127">
        <f t="shared" si="5"/>
        <v>946.24</v>
      </c>
      <c r="F29" s="136">
        <f>E29/B29</f>
        <v>0.6791358644943658</v>
      </c>
      <c r="G29" s="136">
        <f>E29/C29</f>
        <v>0.6791358644943658</v>
      </c>
      <c r="H29" s="127">
        <f t="shared" si="5"/>
        <v>0</v>
      </c>
      <c r="I29" s="127">
        <f t="shared" si="5"/>
        <v>0</v>
      </c>
      <c r="J29" s="127">
        <f t="shared" si="5"/>
        <v>0</v>
      </c>
      <c r="K29" s="127">
        <f t="shared" si="5"/>
        <v>0</v>
      </c>
      <c r="L29" s="127">
        <f t="shared" si="5"/>
        <v>0</v>
      </c>
      <c r="M29" s="127">
        <f t="shared" si="5"/>
        <v>0</v>
      </c>
      <c r="N29" s="127">
        <f t="shared" si="5"/>
        <v>0</v>
      </c>
      <c r="O29" s="127">
        <f t="shared" si="5"/>
        <v>0</v>
      </c>
      <c r="P29" s="127">
        <f t="shared" si="5"/>
        <v>0</v>
      </c>
      <c r="Q29" s="127">
        <f t="shared" si="5"/>
        <v>0</v>
      </c>
      <c r="R29" s="127">
        <f t="shared" si="5"/>
        <v>464.45320000000004</v>
      </c>
      <c r="S29" s="127">
        <f t="shared" si="5"/>
        <v>155.74</v>
      </c>
      <c r="T29" s="127">
        <f t="shared" si="5"/>
        <v>464.4234</v>
      </c>
      <c r="U29" s="127">
        <f t="shared" si="5"/>
        <v>453.38</v>
      </c>
      <c r="V29" s="127">
        <f t="shared" si="5"/>
        <v>464.4234</v>
      </c>
      <c r="W29" s="127">
        <f t="shared" si="5"/>
        <v>337.12</v>
      </c>
      <c r="X29" s="127">
        <f t="shared" si="5"/>
        <v>0</v>
      </c>
      <c r="Y29" s="127">
        <f t="shared" si="5"/>
        <v>0</v>
      </c>
      <c r="Z29" s="127">
        <f t="shared" si="5"/>
        <v>0</v>
      </c>
      <c r="AA29" s="127">
        <f t="shared" si="5"/>
        <v>0</v>
      </c>
      <c r="AB29" s="127">
        <f t="shared" si="5"/>
        <v>0</v>
      </c>
      <c r="AC29" s="127">
        <f t="shared" si="5"/>
        <v>0</v>
      </c>
      <c r="AD29" s="127">
        <f t="shared" si="5"/>
        <v>0</v>
      </c>
      <c r="AE29" s="127">
        <f t="shared" si="5"/>
        <v>0</v>
      </c>
      <c r="AF29" s="119"/>
      <c r="AG29" s="92"/>
      <c r="AH29" s="98"/>
    </row>
    <row r="30" spans="1:34" s="152" customFormat="1" ht="20.25">
      <c r="A30" s="148" t="s">
        <v>25</v>
      </c>
      <c r="B30" s="149">
        <f>H30+J30+L30+N30+P30+R30+T30+V30+X30+Z30+AB30+AD30</f>
        <v>1393.3000000000002</v>
      </c>
      <c r="C30" s="150">
        <f>R30+T30+V30</f>
        <v>1393.3000000000002</v>
      </c>
      <c r="D30" s="150">
        <f>1393300/1000</f>
        <v>1393.3</v>
      </c>
      <c r="E30" s="150">
        <f>I30+K30+M30+O30+Q30+S30+U30+W30+Y30+AA30+AC30+AE30</f>
        <v>946.24</v>
      </c>
      <c r="F30" s="151">
        <f>E30/B30</f>
        <v>0.6791358644943658</v>
      </c>
      <c r="G30" s="151">
        <f>E30/C30</f>
        <v>0.6791358644943658</v>
      </c>
      <c r="H30" s="157">
        <v>0</v>
      </c>
      <c r="I30" s="157">
        <v>0</v>
      </c>
      <c r="J30" s="157">
        <v>0</v>
      </c>
      <c r="K30" s="157">
        <v>0</v>
      </c>
      <c r="L30" s="157">
        <v>0</v>
      </c>
      <c r="M30" s="157">
        <v>0</v>
      </c>
      <c r="N30" s="157">
        <v>0</v>
      </c>
      <c r="O30" s="157">
        <v>0</v>
      </c>
      <c r="P30" s="157">
        <v>0</v>
      </c>
      <c r="Q30" s="157">
        <v>0</v>
      </c>
      <c r="R30" s="150">
        <f>464453.2/1000</f>
        <v>464.45320000000004</v>
      </c>
      <c r="S30" s="150">
        <v>155.74</v>
      </c>
      <c r="T30" s="150">
        <f>464423.4/1000</f>
        <v>464.4234</v>
      </c>
      <c r="U30" s="150">
        <v>453.38</v>
      </c>
      <c r="V30" s="150">
        <f>464423.4/1000</f>
        <v>464.4234</v>
      </c>
      <c r="W30" s="150">
        <v>337.12</v>
      </c>
      <c r="X30" s="157">
        <v>0</v>
      </c>
      <c r="Y30" s="157">
        <v>0</v>
      </c>
      <c r="Z30" s="157">
        <v>0</v>
      </c>
      <c r="AA30" s="157">
        <v>0</v>
      </c>
      <c r="AB30" s="157">
        <v>0</v>
      </c>
      <c r="AC30" s="157">
        <v>0</v>
      </c>
      <c r="AD30" s="157">
        <v>0</v>
      </c>
      <c r="AE30" s="157">
        <v>0</v>
      </c>
      <c r="AF30" s="183" t="s">
        <v>169</v>
      </c>
      <c r="AG30" s="155"/>
      <c r="AH30" s="156"/>
    </row>
    <row r="31" spans="1:34" s="18" customFormat="1" ht="19.5" customHeight="1">
      <c r="A31" s="45" t="s">
        <v>122</v>
      </c>
      <c r="B31" s="129"/>
      <c r="C31" s="130"/>
      <c r="D31" s="130"/>
      <c r="E31" s="130"/>
      <c r="F31" s="137"/>
      <c r="G31" s="137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83"/>
      <c r="AH31" s="98"/>
    </row>
    <row r="32" spans="1:34" s="18" customFormat="1" ht="18.75">
      <c r="A32" s="117" t="s">
        <v>32</v>
      </c>
      <c r="B32" s="127">
        <f aca="true" t="shared" si="6" ref="B32:AE32">B33</f>
        <v>72.3</v>
      </c>
      <c r="C32" s="127">
        <f t="shared" si="6"/>
        <v>72.3</v>
      </c>
      <c r="D32" s="127">
        <f t="shared" si="6"/>
        <v>72.3</v>
      </c>
      <c r="E32" s="127">
        <f t="shared" si="6"/>
        <v>72.3</v>
      </c>
      <c r="F32" s="136">
        <f>E32/B32</f>
        <v>1</v>
      </c>
      <c r="G32" s="136">
        <f>E32/C32</f>
        <v>1</v>
      </c>
      <c r="H32" s="128">
        <f t="shared" si="6"/>
        <v>0</v>
      </c>
      <c r="I32" s="128">
        <f t="shared" si="6"/>
        <v>0</v>
      </c>
      <c r="J32" s="128">
        <f t="shared" si="6"/>
        <v>0</v>
      </c>
      <c r="K32" s="128">
        <f t="shared" si="6"/>
        <v>0</v>
      </c>
      <c r="L32" s="128">
        <f t="shared" si="6"/>
        <v>0</v>
      </c>
      <c r="M32" s="128">
        <f t="shared" si="6"/>
        <v>0</v>
      </c>
      <c r="N32" s="128">
        <f t="shared" si="6"/>
        <v>72.3</v>
      </c>
      <c r="O32" s="128">
        <f t="shared" si="6"/>
        <v>0</v>
      </c>
      <c r="P32" s="128">
        <f t="shared" si="6"/>
        <v>0</v>
      </c>
      <c r="Q32" s="128">
        <f t="shared" si="6"/>
        <v>72.3</v>
      </c>
      <c r="R32" s="128">
        <f t="shared" si="6"/>
        <v>0</v>
      </c>
      <c r="S32" s="128">
        <f t="shared" si="6"/>
        <v>0</v>
      </c>
      <c r="T32" s="128">
        <f t="shared" si="6"/>
        <v>0</v>
      </c>
      <c r="U32" s="128">
        <f t="shared" si="6"/>
        <v>0</v>
      </c>
      <c r="V32" s="128">
        <f t="shared" si="6"/>
        <v>0</v>
      </c>
      <c r="W32" s="128">
        <f t="shared" si="6"/>
        <v>0</v>
      </c>
      <c r="X32" s="128">
        <f t="shared" si="6"/>
        <v>0</v>
      </c>
      <c r="Y32" s="128">
        <f t="shared" si="6"/>
        <v>0</v>
      </c>
      <c r="Z32" s="128">
        <f t="shared" si="6"/>
        <v>0</v>
      </c>
      <c r="AA32" s="128">
        <f t="shared" si="6"/>
        <v>0</v>
      </c>
      <c r="AB32" s="128">
        <f t="shared" si="6"/>
        <v>0</v>
      </c>
      <c r="AC32" s="128">
        <f t="shared" si="6"/>
        <v>0</v>
      </c>
      <c r="AD32" s="128">
        <f t="shared" si="6"/>
        <v>0</v>
      </c>
      <c r="AE32" s="128">
        <f t="shared" si="6"/>
        <v>0</v>
      </c>
      <c r="AF32" s="119"/>
      <c r="AH32" s="98"/>
    </row>
    <row r="33" spans="1:34" s="152" customFormat="1" ht="18.75">
      <c r="A33" s="148" t="s">
        <v>25</v>
      </c>
      <c r="B33" s="149">
        <f>H33+J33+L33+N33+P33+R33+T33+V33+X33+Z33+AB33+AD33</f>
        <v>72.3</v>
      </c>
      <c r="C33" s="150">
        <f>H33+J33+L33+N33+P33+R33+T33+V33</f>
        <v>72.3</v>
      </c>
      <c r="D33" s="150">
        <f>72300/1000</f>
        <v>72.3</v>
      </c>
      <c r="E33" s="150">
        <f>I33+K33+M33+O33+Q33+S33+U33+W33+Y33+AA33+AC33+AE33</f>
        <v>72.3</v>
      </c>
      <c r="F33" s="151">
        <f>E33/B33</f>
        <v>1</v>
      </c>
      <c r="G33" s="151">
        <f>E33/C33</f>
        <v>1</v>
      </c>
      <c r="H33" s="150">
        <v>0</v>
      </c>
      <c r="I33" s="150">
        <v>0</v>
      </c>
      <c r="J33" s="150">
        <v>0</v>
      </c>
      <c r="K33" s="150">
        <v>0</v>
      </c>
      <c r="L33" s="150">
        <v>0</v>
      </c>
      <c r="M33" s="150">
        <v>0</v>
      </c>
      <c r="N33" s="150">
        <f>72300/1000</f>
        <v>72.3</v>
      </c>
      <c r="O33" s="150">
        <v>0</v>
      </c>
      <c r="P33" s="150">
        <v>0</v>
      </c>
      <c r="Q33" s="150">
        <v>72.3</v>
      </c>
      <c r="R33" s="150">
        <v>0</v>
      </c>
      <c r="S33" s="150">
        <v>0</v>
      </c>
      <c r="T33" s="150">
        <v>0</v>
      </c>
      <c r="U33" s="150">
        <v>0</v>
      </c>
      <c r="V33" s="150">
        <v>0</v>
      </c>
      <c r="W33" s="150">
        <v>0</v>
      </c>
      <c r="X33" s="150">
        <v>0</v>
      </c>
      <c r="Y33" s="150">
        <v>0</v>
      </c>
      <c r="Z33" s="150">
        <v>0</v>
      </c>
      <c r="AA33" s="150">
        <v>0</v>
      </c>
      <c r="AB33" s="150">
        <v>0</v>
      </c>
      <c r="AC33" s="150">
        <v>0</v>
      </c>
      <c r="AD33" s="150">
        <v>0</v>
      </c>
      <c r="AE33" s="150">
        <v>0</v>
      </c>
      <c r="AF33" s="183" t="s">
        <v>174</v>
      </c>
      <c r="AH33" s="153"/>
    </row>
    <row r="34" spans="1:34" s="18" customFormat="1" ht="56.25">
      <c r="A34" s="45" t="s">
        <v>123</v>
      </c>
      <c r="B34" s="129"/>
      <c r="C34" s="131"/>
      <c r="D34" s="131"/>
      <c r="E34" s="131"/>
      <c r="F34" s="138"/>
      <c r="G34" s="138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83"/>
      <c r="AH34" s="98"/>
    </row>
    <row r="35" spans="1:34" s="18" customFormat="1" ht="18.75">
      <c r="A35" s="117" t="s">
        <v>32</v>
      </c>
      <c r="B35" s="127">
        <f aca="true" t="shared" si="7" ref="B35:AE35">B36</f>
        <v>0</v>
      </c>
      <c r="C35" s="127">
        <f t="shared" si="7"/>
        <v>0</v>
      </c>
      <c r="D35" s="127">
        <f t="shared" si="7"/>
        <v>0</v>
      </c>
      <c r="E35" s="127">
        <f t="shared" si="7"/>
        <v>0</v>
      </c>
      <c r="F35" s="136">
        <v>0</v>
      </c>
      <c r="G35" s="136">
        <v>0</v>
      </c>
      <c r="H35" s="128">
        <f t="shared" si="7"/>
        <v>0</v>
      </c>
      <c r="I35" s="128">
        <f t="shared" si="7"/>
        <v>0</v>
      </c>
      <c r="J35" s="128">
        <f t="shared" si="7"/>
        <v>0</v>
      </c>
      <c r="K35" s="128">
        <f t="shared" si="7"/>
        <v>0</v>
      </c>
      <c r="L35" s="128">
        <f t="shared" si="7"/>
        <v>0</v>
      </c>
      <c r="M35" s="128">
        <f t="shared" si="7"/>
        <v>0</v>
      </c>
      <c r="N35" s="128">
        <f t="shared" si="7"/>
        <v>0</v>
      </c>
      <c r="O35" s="128">
        <f t="shared" si="7"/>
        <v>0</v>
      </c>
      <c r="P35" s="128">
        <f t="shared" si="7"/>
        <v>0</v>
      </c>
      <c r="Q35" s="128">
        <f t="shared" si="7"/>
        <v>0</v>
      </c>
      <c r="R35" s="128">
        <f t="shared" si="7"/>
        <v>0</v>
      </c>
      <c r="S35" s="128">
        <f t="shared" si="7"/>
        <v>0</v>
      </c>
      <c r="T35" s="128">
        <f t="shared" si="7"/>
        <v>0</v>
      </c>
      <c r="U35" s="128">
        <f t="shared" si="7"/>
        <v>0</v>
      </c>
      <c r="V35" s="128">
        <f t="shared" si="7"/>
        <v>0</v>
      </c>
      <c r="W35" s="128">
        <f t="shared" si="7"/>
        <v>0</v>
      </c>
      <c r="X35" s="128">
        <f t="shared" si="7"/>
        <v>0</v>
      </c>
      <c r="Y35" s="128">
        <f t="shared" si="7"/>
        <v>0</v>
      </c>
      <c r="Z35" s="128">
        <f t="shared" si="7"/>
        <v>0</v>
      </c>
      <c r="AA35" s="128">
        <f t="shared" si="7"/>
        <v>0</v>
      </c>
      <c r="AB35" s="128">
        <f t="shared" si="7"/>
        <v>0</v>
      </c>
      <c r="AC35" s="128">
        <f t="shared" si="7"/>
        <v>0</v>
      </c>
      <c r="AD35" s="128">
        <f t="shared" si="7"/>
        <v>0</v>
      </c>
      <c r="AE35" s="128">
        <f t="shared" si="7"/>
        <v>0</v>
      </c>
      <c r="AF35" s="119"/>
      <c r="AH35" s="98"/>
    </row>
    <row r="36" spans="1:34" s="159" customFormat="1" ht="18.75">
      <c r="A36" s="148" t="s">
        <v>25</v>
      </c>
      <c r="B36" s="149">
        <f>H36+J36+L36+N36+P36+R36+T36+V36+X36+Z36+AB36+AD36</f>
        <v>0</v>
      </c>
      <c r="C36" s="150">
        <f>H36+J36+L36+N36</f>
        <v>0</v>
      </c>
      <c r="D36" s="150">
        <f>H36+J36+L36+N36+P36+R36+T36+V36</f>
        <v>0</v>
      </c>
      <c r="E36" s="150">
        <f>I36+K36+M36+O36+Q36+S36+U36+W36+Y36+AA36+AC36+AE36</f>
        <v>0</v>
      </c>
      <c r="F36" s="151">
        <v>0</v>
      </c>
      <c r="G36" s="151">
        <v>0</v>
      </c>
      <c r="H36" s="150">
        <v>0</v>
      </c>
      <c r="I36" s="150">
        <v>0</v>
      </c>
      <c r="J36" s="150">
        <v>0</v>
      </c>
      <c r="K36" s="150">
        <v>0</v>
      </c>
      <c r="L36" s="150">
        <v>0</v>
      </c>
      <c r="M36" s="150">
        <v>0</v>
      </c>
      <c r="N36" s="150">
        <v>0</v>
      </c>
      <c r="O36" s="150">
        <v>0</v>
      </c>
      <c r="P36" s="150">
        <v>0</v>
      </c>
      <c r="Q36" s="150">
        <v>0</v>
      </c>
      <c r="R36" s="150">
        <v>0</v>
      </c>
      <c r="S36" s="150">
        <v>0</v>
      </c>
      <c r="T36" s="150">
        <v>0</v>
      </c>
      <c r="U36" s="150">
        <v>0</v>
      </c>
      <c r="V36" s="150">
        <v>0</v>
      </c>
      <c r="W36" s="150">
        <v>0</v>
      </c>
      <c r="X36" s="150">
        <v>0</v>
      </c>
      <c r="Y36" s="150">
        <v>0</v>
      </c>
      <c r="Z36" s="150">
        <v>0</v>
      </c>
      <c r="AA36" s="150">
        <v>0</v>
      </c>
      <c r="AB36" s="150">
        <v>0</v>
      </c>
      <c r="AC36" s="150">
        <v>0</v>
      </c>
      <c r="AD36" s="150">
        <v>0</v>
      </c>
      <c r="AE36" s="150">
        <v>0</v>
      </c>
      <c r="AF36" s="158"/>
      <c r="AH36" s="160"/>
    </row>
    <row r="37" spans="1:34" s="18" customFormat="1" ht="18.75">
      <c r="A37" s="124" t="s">
        <v>156</v>
      </c>
      <c r="B37" s="132">
        <f>B38+B39</f>
        <v>8983.4</v>
      </c>
      <c r="C37" s="132">
        <f>C38+C39</f>
        <v>8452.463029999999</v>
      </c>
      <c r="D37" s="132">
        <f aca="true" t="shared" si="8" ref="D37:AE37">D38+D39</f>
        <v>8010.49702</v>
      </c>
      <c r="E37" s="132">
        <f t="shared" si="8"/>
        <v>6743.0599999999995</v>
      </c>
      <c r="F37" s="139">
        <f>E37/B37</f>
        <v>0.7506133535187123</v>
      </c>
      <c r="G37" s="139">
        <f>E37/C37</f>
        <v>0.7977627321251946</v>
      </c>
      <c r="H37" s="132">
        <f t="shared" si="8"/>
        <v>65.7896</v>
      </c>
      <c r="I37" s="132">
        <f t="shared" si="8"/>
        <v>0</v>
      </c>
      <c r="J37" s="132">
        <f t="shared" si="8"/>
        <v>75.46415</v>
      </c>
      <c r="K37" s="132">
        <f t="shared" si="8"/>
        <v>54.129999999999995</v>
      </c>
      <c r="L37" s="132">
        <f t="shared" si="8"/>
        <v>192.0091</v>
      </c>
      <c r="M37" s="132">
        <f t="shared" si="8"/>
        <v>95.62</v>
      </c>
      <c r="N37" s="132">
        <f t="shared" si="8"/>
        <v>330.31361</v>
      </c>
      <c r="O37" s="132">
        <f t="shared" si="8"/>
        <v>194.16</v>
      </c>
      <c r="P37" s="132">
        <f t="shared" si="8"/>
        <v>633.8477099999999</v>
      </c>
      <c r="Q37" s="132">
        <f t="shared" si="8"/>
        <v>240.25999999999996</v>
      </c>
      <c r="R37" s="132">
        <f t="shared" si="8"/>
        <v>2380.6828000000005</v>
      </c>
      <c r="S37" s="132">
        <f t="shared" si="8"/>
        <v>2133.71</v>
      </c>
      <c r="T37" s="132">
        <f t="shared" si="8"/>
        <v>2393.84358</v>
      </c>
      <c r="U37" s="132">
        <f>U38+U39</f>
        <v>2447.77</v>
      </c>
      <c r="V37" s="132">
        <f t="shared" si="8"/>
        <v>2380.5124800000003</v>
      </c>
      <c r="W37" s="132">
        <f t="shared" si="8"/>
        <v>1577.41</v>
      </c>
      <c r="X37" s="132">
        <f t="shared" si="8"/>
        <v>181.37601999999998</v>
      </c>
      <c r="Y37" s="132">
        <f t="shared" si="8"/>
        <v>0</v>
      </c>
      <c r="Z37" s="132">
        <f>Z38+Z39</f>
        <v>170.12866</v>
      </c>
      <c r="AA37" s="132">
        <f t="shared" si="8"/>
        <v>0</v>
      </c>
      <c r="AB37" s="132">
        <f t="shared" si="8"/>
        <v>179.43229</v>
      </c>
      <c r="AC37" s="132">
        <f t="shared" si="8"/>
        <v>0</v>
      </c>
      <c r="AD37" s="132">
        <f t="shared" si="8"/>
        <v>0</v>
      </c>
      <c r="AE37" s="132">
        <f t="shared" si="8"/>
        <v>0</v>
      </c>
      <c r="AF37" s="125"/>
      <c r="AH37" s="98"/>
    </row>
    <row r="38" spans="1:34" s="18" customFormat="1" ht="18.75">
      <c r="A38" s="126" t="s">
        <v>24</v>
      </c>
      <c r="B38" s="133">
        <f>B15+B19+B23</f>
        <v>1415.3</v>
      </c>
      <c r="C38" s="133">
        <f>C15+C19+C23</f>
        <v>1207.768</v>
      </c>
      <c r="D38" s="133">
        <f>D15+D19+D23</f>
        <v>765.8019899999999</v>
      </c>
      <c r="E38" s="133">
        <f>E15+E19+E23</f>
        <v>584.62</v>
      </c>
      <c r="F38" s="140">
        <f>E38/B38</f>
        <v>0.41307143361831417</v>
      </c>
      <c r="G38" s="140">
        <f>E38/C38</f>
        <v>0.4840499168714521</v>
      </c>
      <c r="H38" s="133">
        <f aca="true" t="shared" si="9" ref="H38:AE38">H15+H19+H23</f>
        <v>0</v>
      </c>
      <c r="I38" s="133">
        <f t="shared" si="9"/>
        <v>0</v>
      </c>
      <c r="J38" s="133">
        <f t="shared" si="9"/>
        <v>36.34055</v>
      </c>
      <c r="K38" s="133">
        <f t="shared" si="9"/>
        <v>9.219999999999999</v>
      </c>
      <c r="L38" s="133">
        <f t="shared" si="9"/>
        <v>73.04611</v>
      </c>
      <c r="M38" s="133">
        <f t="shared" si="9"/>
        <v>51.81</v>
      </c>
      <c r="N38" s="133">
        <f t="shared" si="9"/>
        <v>62.34267</v>
      </c>
      <c r="O38" s="133">
        <f t="shared" si="9"/>
        <v>87.63</v>
      </c>
      <c r="P38" s="133">
        <f t="shared" si="9"/>
        <v>62.40666999999999</v>
      </c>
      <c r="Q38" s="133">
        <f t="shared" si="9"/>
        <v>4.97</v>
      </c>
      <c r="R38" s="133">
        <f t="shared" si="9"/>
        <v>307.204</v>
      </c>
      <c r="S38" s="133">
        <f t="shared" si="9"/>
        <v>236.02</v>
      </c>
      <c r="T38" s="133">
        <f t="shared" si="9"/>
        <v>91.619</v>
      </c>
      <c r="U38" s="133">
        <f>U15+U19+U23</f>
        <v>0</v>
      </c>
      <c r="V38" s="133">
        <f t="shared" si="9"/>
        <v>574.809</v>
      </c>
      <c r="W38" s="133">
        <f t="shared" si="9"/>
        <v>194.97</v>
      </c>
      <c r="X38" s="133">
        <f t="shared" si="9"/>
        <v>58.544</v>
      </c>
      <c r="Y38" s="133">
        <f t="shared" si="9"/>
        <v>0</v>
      </c>
      <c r="Z38" s="133">
        <f t="shared" si="9"/>
        <v>60.58774</v>
      </c>
      <c r="AA38" s="133">
        <f t="shared" si="9"/>
        <v>0</v>
      </c>
      <c r="AB38" s="133">
        <f t="shared" si="9"/>
        <v>88.40025999999999</v>
      </c>
      <c r="AC38" s="133">
        <f t="shared" si="9"/>
        <v>0</v>
      </c>
      <c r="AD38" s="133">
        <f t="shared" si="9"/>
        <v>0</v>
      </c>
      <c r="AE38" s="133">
        <f t="shared" si="9"/>
        <v>0</v>
      </c>
      <c r="AF38" s="125"/>
      <c r="AH38" s="98"/>
    </row>
    <row r="39" spans="1:34" s="18" customFormat="1" ht="18.75">
      <c r="A39" s="126" t="s">
        <v>25</v>
      </c>
      <c r="B39" s="133">
        <f>B16+B20+B24+B27+B30+B33+B36</f>
        <v>7568.1</v>
      </c>
      <c r="C39" s="133">
        <f>C16+C20+C24+C27+C30+C33+C36</f>
        <v>7244.69503</v>
      </c>
      <c r="D39" s="133">
        <f>D16+D20+D24+D27+D30+D33+D36</f>
        <v>7244.69503</v>
      </c>
      <c r="E39" s="133">
        <f>E16+E20+E24+E27+E30+E33+E36</f>
        <v>6158.44</v>
      </c>
      <c r="F39" s="140">
        <f>E39/B39</f>
        <v>0.8137366049602938</v>
      </c>
      <c r="G39" s="140">
        <f>E39/C39</f>
        <v>0.8500620073720342</v>
      </c>
      <c r="H39" s="133">
        <f aca="true" t="shared" si="10" ref="H39:AE39">H16+H20+H24+H27+H30+H33+H36</f>
        <v>65.7896</v>
      </c>
      <c r="I39" s="133">
        <f t="shared" si="10"/>
        <v>0</v>
      </c>
      <c r="J39" s="133">
        <f t="shared" si="10"/>
        <v>39.1236</v>
      </c>
      <c r="K39" s="133">
        <f t="shared" si="10"/>
        <v>44.91</v>
      </c>
      <c r="L39" s="133">
        <f t="shared" si="10"/>
        <v>118.96298999999999</v>
      </c>
      <c r="M39" s="133">
        <f t="shared" si="10"/>
        <v>43.81</v>
      </c>
      <c r="N39" s="133">
        <f t="shared" si="10"/>
        <v>267.97094</v>
      </c>
      <c r="O39" s="133">
        <f t="shared" si="10"/>
        <v>106.53</v>
      </c>
      <c r="P39" s="133">
        <f t="shared" si="10"/>
        <v>571.4410399999999</v>
      </c>
      <c r="Q39" s="133">
        <f t="shared" si="10"/>
        <v>235.28999999999996</v>
      </c>
      <c r="R39" s="133">
        <f t="shared" si="10"/>
        <v>2073.4788000000003</v>
      </c>
      <c r="S39" s="133">
        <f t="shared" si="10"/>
        <v>1897.69</v>
      </c>
      <c r="T39" s="133">
        <f t="shared" si="10"/>
        <v>2302.22458</v>
      </c>
      <c r="U39" s="133">
        <f t="shared" si="10"/>
        <v>2447.77</v>
      </c>
      <c r="V39" s="133">
        <f t="shared" si="10"/>
        <v>1805.7034800000001</v>
      </c>
      <c r="W39" s="133">
        <f t="shared" si="10"/>
        <v>1382.44</v>
      </c>
      <c r="X39" s="133">
        <f t="shared" si="10"/>
        <v>122.83202</v>
      </c>
      <c r="Y39" s="133">
        <f t="shared" si="10"/>
        <v>0</v>
      </c>
      <c r="Z39" s="133">
        <f t="shared" si="10"/>
        <v>109.54092</v>
      </c>
      <c r="AA39" s="133">
        <f t="shared" si="10"/>
        <v>0</v>
      </c>
      <c r="AB39" s="133">
        <f t="shared" si="10"/>
        <v>91.03203</v>
      </c>
      <c r="AC39" s="133">
        <f t="shared" si="10"/>
        <v>0</v>
      </c>
      <c r="AD39" s="133">
        <f t="shared" si="10"/>
        <v>0</v>
      </c>
      <c r="AE39" s="133">
        <f t="shared" si="10"/>
        <v>0</v>
      </c>
      <c r="AF39" s="125"/>
      <c r="AH39" s="98"/>
    </row>
    <row r="40" spans="1:34" s="18" customFormat="1" ht="56.25">
      <c r="A40" s="5" t="s">
        <v>124</v>
      </c>
      <c r="B40" s="134"/>
      <c r="C40" s="131"/>
      <c r="D40" s="131"/>
      <c r="E40" s="131"/>
      <c r="F40" s="138"/>
      <c r="G40" s="138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20"/>
      <c r="AH40" s="98"/>
    </row>
    <row r="41" spans="1:34" s="18" customFormat="1" ht="18.75">
      <c r="A41" s="4" t="s">
        <v>22</v>
      </c>
      <c r="B41" s="129"/>
      <c r="C41" s="131"/>
      <c r="D41" s="131"/>
      <c r="E41" s="131"/>
      <c r="F41" s="138"/>
      <c r="G41" s="138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20"/>
      <c r="AH41" s="98"/>
    </row>
    <row r="42" spans="1:34" s="18" customFormat="1" ht="81" customHeight="1">
      <c r="A42" s="45" t="s">
        <v>125</v>
      </c>
      <c r="B42" s="129"/>
      <c r="C42" s="131"/>
      <c r="D42" s="131"/>
      <c r="E42" s="131"/>
      <c r="F42" s="138"/>
      <c r="G42" s="138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77" t="s">
        <v>181</v>
      </c>
      <c r="AH42" s="98"/>
    </row>
    <row r="43" spans="1:34" s="18" customFormat="1" ht="18.75">
      <c r="A43" s="117" t="s">
        <v>32</v>
      </c>
      <c r="B43" s="127">
        <f aca="true" t="shared" si="11" ref="B43:AE43">B44</f>
        <v>8524.3</v>
      </c>
      <c r="C43" s="127">
        <f t="shared" si="11"/>
        <v>5219</v>
      </c>
      <c r="D43" s="127">
        <f>C43</f>
        <v>5219</v>
      </c>
      <c r="E43" s="127">
        <f t="shared" si="11"/>
        <v>5206.25</v>
      </c>
      <c r="F43" s="136">
        <f>E43/B43</f>
        <v>0.610753962202175</v>
      </c>
      <c r="G43" s="136">
        <f>E43/C43</f>
        <v>0.997557003257329</v>
      </c>
      <c r="H43" s="128">
        <f t="shared" si="11"/>
        <v>0</v>
      </c>
      <c r="I43" s="128">
        <f t="shared" si="11"/>
        <v>0</v>
      </c>
      <c r="J43" s="128">
        <f t="shared" si="11"/>
        <v>600</v>
      </c>
      <c r="K43" s="128">
        <f t="shared" si="11"/>
        <v>391.85</v>
      </c>
      <c r="L43" s="128">
        <f t="shared" si="11"/>
        <v>700</v>
      </c>
      <c r="M43" s="128">
        <f t="shared" si="11"/>
        <v>753.59</v>
      </c>
      <c r="N43" s="128">
        <f t="shared" si="11"/>
        <v>800</v>
      </c>
      <c r="O43" s="128">
        <f t="shared" si="11"/>
        <v>855.01</v>
      </c>
      <c r="P43" s="128">
        <f t="shared" si="11"/>
        <v>870</v>
      </c>
      <c r="Q43" s="128">
        <f t="shared" si="11"/>
        <v>841.53</v>
      </c>
      <c r="R43" s="128">
        <f t="shared" si="11"/>
        <v>718.2</v>
      </c>
      <c r="S43" s="128">
        <f t="shared" si="11"/>
        <v>807.53</v>
      </c>
      <c r="T43" s="128">
        <f t="shared" si="11"/>
        <v>690.8</v>
      </c>
      <c r="U43" s="128">
        <f t="shared" si="11"/>
        <v>722.55</v>
      </c>
      <c r="V43" s="128">
        <f t="shared" si="11"/>
        <v>840</v>
      </c>
      <c r="W43" s="128">
        <f t="shared" si="11"/>
        <v>834.19</v>
      </c>
      <c r="X43" s="128">
        <f t="shared" si="11"/>
        <v>783</v>
      </c>
      <c r="Y43" s="128">
        <f t="shared" si="11"/>
        <v>0</v>
      </c>
      <c r="Z43" s="128">
        <f t="shared" si="11"/>
        <v>814.18138</v>
      </c>
      <c r="AA43" s="128">
        <f t="shared" si="11"/>
        <v>0</v>
      </c>
      <c r="AB43" s="128">
        <f t="shared" si="11"/>
        <v>661.8289100000001</v>
      </c>
      <c r="AC43" s="128">
        <f t="shared" si="11"/>
        <v>0</v>
      </c>
      <c r="AD43" s="128">
        <f t="shared" si="11"/>
        <v>1046.28971</v>
      </c>
      <c r="AE43" s="128">
        <f t="shared" si="11"/>
        <v>0</v>
      </c>
      <c r="AF43" s="178"/>
      <c r="AH43" s="98"/>
    </row>
    <row r="44" spans="1:34" s="159" customFormat="1" ht="18.75">
      <c r="A44" s="148" t="s">
        <v>25</v>
      </c>
      <c r="B44" s="149">
        <f>H44+J44+L44+N44+P44+R44+T44+V44+X44+Z44+AB44+AD44</f>
        <v>8524.3</v>
      </c>
      <c r="C44" s="150">
        <f>H44+J44+L44+N44+P44+R44+T44+V44</f>
        <v>5219</v>
      </c>
      <c r="D44" s="150">
        <f>C44</f>
        <v>5219</v>
      </c>
      <c r="E44" s="150">
        <f>I44+K44+M44+O44+Q44+S44+U44+W44+Y44+AA44+AC44+AE44</f>
        <v>5206.25</v>
      </c>
      <c r="F44" s="151">
        <f>E44/B44</f>
        <v>0.610753962202175</v>
      </c>
      <c r="G44" s="151">
        <f>E44/C44</f>
        <v>0.997557003257329</v>
      </c>
      <c r="H44" s="150">
        <v>0</v>
      </c>
      <c r="I44" s="150">
        <v>0</v>
      </c>
      <c r="J44" s="150">
        <v>600</v>
      </c>
      <c r="K44" s="150">
        <v>391.85</v>
      </c>
      <c r="L44" s="150">
        <v>700</v>
      </c>
      <c r="M44" s="150">
        <v>753.59</v>
      </c>
      <c r="N44" s="150">
        <v>800</v>
      </c>
      <c r="O44" s="150">
        <v>855.01</v>
      </c>
      <c r="P44" s="150">
        <v>870</v>
      </c>
      <c r="Q44" s="150">
        <v>841.53</v>
      </c>
      <c r="R44" s="150">
        <v>718.2</v>
      </c>
      <c r="S44" s="150">
        <v>807.53</v>
      </c>
      <c r="T44" s="150">
        <v>690.8</v>
      </c>
      <c r="U44" s="150">
        <v>722.55</v>
      </c>
      <c r="V44" s="150">
        <v>840</v>
      </c>
      <c r="W44" s="150">
        <v>834.19</v>
      </c>
      <c r="X44" s="150">
        <v>783</v>
      </c>
      <c r="Y44" s="150">
        <v>0</v>
      </c>
      <c r="Z44" s="150">
        <f>814181.38/1000</f>
        <v>814.18138</v>
      </c>
      <c r="AA44" s="150">
        <v>0</v>
      </c>
      <c r="AB44" s="150">
        <f>661828.91/1000</f>
        <v>661.8289100000001</v>
      </c>
      <c r="AC44" s="150">
        <v>0</v>
      </c>
      <c r="AD44" s="150">
        <f>1046289.71/1000</f>
        <v>1046.28971</v>
      </c>
      <c r="AE44" s="150">
        <v>0</v>
      </c>
      <c r="AF44" s="179"/>
      <c r="AH44" s="160"/>
    </row>
    <row r="45" spans="1:34" s="18" customFormat="1" ht="55.5" customHeight="1">
      <c r="A45" s="114" t="s">
        <v>126</v>
      </c>
      <c r="B45" s="135"/>
      <c r="C45" s="135"/>
      <c r="D45" s="135"/>
      <c r="E45" s="135"/>
      <c r="F45" s="141"/>
      <c r="G45" s="141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21"/>
      <c r="AH45" s="98"/>
    </row>
    <row r="46" spans="1:34" s="18" customFormat="1" ht="88.5" customHeight="1">
      <c r="A46" s="47" t="s">
        <v>154</v>
      </c>
      <c r="B46" s="134"/>
      <c r="C46" s="131"/>
      <c r="D46" s="131"/>
      <c r="E46" s="131"/>
      <c r="F46" s="138"/>
      <c r="G46" s="138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20"/>
      <c r="AH46" s="98"/>
    </row>
    <row r="47" spans="1:34" s="18" customFormat="1" ht="18.75">
      <c r="A47" s="4" t="s">
        <v>22</v>
      </c>
      <c r="B47" s="129"/>
      <c r="C47" s="131"/>
      <c r="D47" s="131"/>
      <c r="E47" s="131"/>
      <c r="F47" s="138"/>
      <c r="G47" s="138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20"/>
      <c r="AH47" s="98"/>
    </row>
    <row r="48" spans="1:34" s="18" customFormat="1" ht="70.5" customHeight="1">
      <c r="A48" s="45" t="s">
        <v>152</v>
      </c>
      <c r="B48" s="129"/>
      <c r="C48" s="131"/>
      <c r="D48" s="131"/>
      <c r="E48" s="131"/>
      <c r="F48" s="138"/>
      <c r="G48" s="138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22" t="s">
        <v>172</v>
      </c>
      <c r="AH48" s="98"/>
    </row>
    <row r="49" spans="1:34" s="18" customFormat="1" ht="18.75">
      <c r="A49" s="117" t="s">
        <v>32</v>
      </c>
      <c r="B49" s="127">
        <f>B50</f>
        <v>218.07</v>
      </c>
      <c r="C49" s="127">
        <f>C50</f>
        <v>218.07</v>
      </c>
      <c r="D49" s="127">
        <f>D50</f>
        <v>218.07</v>
      </c>
      <c r="E49" s="127">
        <f aca="true" t="shared" si="12" ref="E49:AE49">E50</f>
        <v>218.07</v>
      </c>
      <c r="F49" s="136">
        <f>E49/B49</f>
        <v>1</v>
      </c>
      <c r="G49" s="136">
        <f>E49/C49</f>
        <v>1</v>
      </c>
      <c r="H49" s="127">
        <f t="shared" si="12"/>
        <v>0</v>
      </c>
      <c r="I49" s="127">
        <f t="shared" si="12"/>
        <v>0</v>
      </c>
      <c r="J49" s="127">
        <f t="shared" si="12"/>
        <v>0</v>
      </c>
      <c r="K49" s="127">
        <f t="shared" si="12"/>
        <v>0</v>
      </c>
      <c r="L49" s="127">
        <f t="shared" si="12"/>
        <v>0</v>
      </c>
      <c r="M49" s="127">
        <f t="shared" si="12"/>
        <v>0</v>
      </c>
      <c r="N49" s="127">
        <f t="shared" si="12"/>
        <v>0</v>
      </c>
      <c r="O49" s="127">
        <f t="shared" si="12"/>
        <v>0</v>
      </c>
      <c r="P49" s="127">
        <f t="shared" si="12"/>
        <v>0</v>
      </c>
      <c r="Q49" s="127">
        <f t="shared" si="12"/>
        <v>0</v>
      </c>
      <c r="R49" s="127">
        <f t="shared" si="12"/>
        <v>218.07</v>
      </c>
      <c r="S49" s="127">
        <f t="shared" si="12"/>
        <v>0</v>
      </c>
      <c r="T49" s="127">
        <f t="shared" si="12"/>
        <v>0</v>
      </c>
      <c r="U49" s="127">
        <f t="shared" si="12"/>
        <v>218.07</v>
      </c>
      <c r="V49" s="127">
        <f t="shared" si="12"/>
        <v>0</v>
      </c>
      <c r="W49" s="127">
        <f t="shared" si="12"/>
        <v>0</v>
      </c>
      <c r="X49" s="127">
        <f t="shared" si="12"/>
        <v>0</v>
      </c>
      <c r="Y49" s="127">
        <f t="shared" si="12"/>
        <v>0</v>
      </c>
      <c r="Z49" s="127">
        <f t="shared" si="12"/>
        <v>0</v>
      </c>
      <c r="AA49" s="127">
        <f t="shared" si="12"/>
        <v>0</v>
      </c>
      <c r="AB49" s="127">
        <f t="shared" si="12"/>
        <v>0</v>
      </c>
      <c r="AC49" s="127">
        <f t="shared" si="12"/>
        <v>0</v>
      </c>
      <c r="AD49" s="127">
        <f t="shared" si="12"/>
        <v>0</v>
      </c>
      <c r="AE49" s="127">
        <f t="shared" si="12"/>
        <v>0</v>
      </c>
      <c r="AF49" s="119"/>
      <c r="AH49" s="98"/>
    </row>
    <row r="50" spans="1:34" s="152" customFormat="1" ht="18.75">
      <c r="A50" s="148" t="s">
        <v>155</v>
      </c>
      <c r="B50" s="149">
        <f>H50+J50+L50+N50+P50+R50+T50+V50+X50+Z50+AB50+AD50</f>
        <v>218.07</v>
      </c>
      <c r="C50" s="150">
        <f>R50</f>
        <v>218.07</v>
      </c>
      <c r="D50" s="150">
        <v>218.07</v>
      </c>
      <c r="E50" s="150">
        <f>I50+K50+M50+O50+Q50+S50+U50+W50+Y50+AA50+AC50+AE50</f>
        <v>218.07</v>
      </c>
      <c r="F50" s="151">
        <f>E50/B50</f>
        <v>1</v>
      </c>
      <c r="G50" s="151">
        <f>E50/C50</f>
        <v>1</v>
      </c>
      <c r="H50" s="150">
        <v>0</v>
      </c>
      <c r="I50" s="150">
        <v>0</v>
      </c>
      <c r="J50" s="150">
        <v>0</v>
      </c>
      <c r="K50" s="150">
        <v>0</v>
      </c>
      <c r="L50" s="150">
        <v>0</v>
      </c>
      <c r="M50" s="150">
        <v>0</v>
      </c>
      <c r="N50" s="150">
        <v>0</v>
      </c>
      <c r="O50" s="150">
        <v>0</v>
      </c>
      <c r="P50" s="150">
        <v>0</v>
      </c>
      <c r="Q50" s="150">
        <v>0</v>
      </c>
      <c r="R50" s="150">
        <v>218.07</v>
      </c>
      <c r="S50" s="150">
        <v>0</v>
      </c>
      <c r="T50" s="150">
        <v>0</v>
      </c>
      <c r="U50" s="150">
        <f>(72690+72690+72690)/1000</f>
        <v>218.07</v>
      </c>
      <c r="V50" s="150">
        <v>0</v>
      </c>
      <c r="W50" s="150">
        <v>0</v>
      </c>
      <c r="X50" s="150">
        <v>0</v>
      </c>
      <c r="Y50" s="150">
        <v>0</v>
      </c>
      <c r="Z50" s="150">
        <v>0</v>
      </c>
      <c r="AA50" s="150">
        <v>0</v>
      </c>
      <c r="AB50" s="150">
        <v>0</v>
      </c>
      <c r="AC50" s="150">
        <v>0</v>
      </c>
      <c r="AD50" s="150">
        <v>0</v>
      </c>
      <c r="AE50" s="150">
        <v>0</v>
      </c>
      <c r="AF50" s="161"/>
      <c r="AH50" s="153"/>
    </row>
    <row r="51" spans="1:34" s="18" customFormat="1" ht="78" customHeight="1">
      <c r="A51" s="47" t="s">
        <v>153</v>
      </c>
      <c r="B51" s="134"/>
      <c r="C51" s="131"/>
      <c r="D51" s="131"/>
      <c r="E51" s="131"/>
      <c r="F51" s="138"/>
      <c r="G51" s="138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20"/>
      <c r="AH51" s="98"/>
    </row>
    <row r="52" spans="1:34" s="18" customFormat="1" ht="18.75">
      <c r="A52" s="4" t="s">
        <v>22</v>
      </c>
      <c r="B52" s="129"/>
      <c r="C52" s="131"/>
      <c r="D52" s="131"/>
      <c r="E52" s="131"/>
      <c r="F52" s="138"/>
      <c r="G52" s="138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20"/>
      <c r="AH52" s="98"/>
    </row>
    <row r="53" spans="1:34" s="18" customFormat="1" ht="75">
      <c r="A53" s="45" t="s">
        <v>151</v>
      </c>
      <c r="B53" s="129"/>
      <c r="C53" s="131"/>
      <c r="D53" s="131"/>
      <c r="E53" s="131"/>
      <c r="F53" s="138"/>
      <c r="G53" s="138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22"/>
      <c r="AH53" s="98"/>
    </row>
    <row r="54" spans="1:34" s="18" customFormat="1" ht="18.75">
      <c r="A54" s="117" t="s">
        <v>32</v>
      </c>
      <c r="B54" s="127">
        <f>B55</f>
        <v>0</v>
      </c>
      <c r="C54" s="127">
        <f>C55</f>
        <v>0</v>
      </c>
      <c r="D54" s="127">
        <f>D55</f>
        <v>0</v>
      </c>
      <c r="E54" s="127">
        <f aca="true" t="shared" si="13" ref="E54:AE54">E55</f>
        <v>0</v>
      </c>
      <c r="F54" s="136">
        <f t="shared" si="13"/>
        <v>0</v>
      </c>
      <c r="G54" s="136">
        <v>0</v>
      </c>
      <c r="H54" s="127">
        <f t="shared" si="13"/>
        <v>0</v>
      </c>
      <c r="I54" s="127">
        <f t="shared" si="13"/>
        <v>0</v>
      </c>
      <c r="J54" s="127">
        <f t="shared" si="13"/>
        <v>0</v>
      </c>
      <c r="K54" s="127">
        <f t="shared" si="13"/>
        <v>0</v>
      </c>
      <c r="L54" s="127">
        <f t="shared" si="13"/>
        <v>0</v>
      </c>
      <c r="M54" s="127">
        <f t="shared" si="13"/>
        <v>0</v>
      </c>
      <c r="N54" s="127">
        <f t="shared" si="13"/>
        <v>0</v>
      </c>
      <c r="O54" s="127">
        <f t="shared" si="13"/>
        <v>0</v>
      </c>
      <c r="P54" s="127">
        <f t="shared" si="13"/>
        <v>0</v>
      </c>
      <c r="Q54" s="127">
        <f t="shared" si="13"/>
        <v>0</v>
      </c>
      <c r="R54" s="127">
        <f t="shared" si="13"/>
        <v>0</v>
      </c>
      <c r="S54" s="127">
        <f t="shared" si="13"/>
        <v>0</v>
      </c>
      <c r="T54" s="127">
        <f t="shared" si="13"/>
        <v>0</v>
      </c>
      <c r="U54" s="127">
        <f t="shared" si="13"/>
        <v>0</v>
      </c>
      <c r="V54" s="127">
        <f t="shared" si="13"/>
        <v>0</v>
      </c>
      <c r="W54" s="127">
        <f t="shared" si="13"/>
        <v>0</v>
      </c>
      <c r="X54" s="127">
        <f t="shared" si="13"/>
        <v>0</v>
      </c>
      <c r="Y54" s="127">
        <f t="shared" si="13"/>
        <v>0</v>
      </c>
      <c r="Z54" s="127">
        <f t="shared" si="13"/>
        <v>0</v>
      </c>
      <c r="AA54" s="127">
        <f t="shared" si="13"/>
        <v>0</v>
      </c>
      <c r="AB54" s="127">
        <f t="shared" si="13"/>
        <v>0</v>
      </c>
      <c r="AC54" s="127">
        <f t="shared" si="13"/>
        <v>0</v>
      </c>
      <c r="AD54" s="127">
        <f t="shared" si="13"/>
        <v>0</v>
      </c>
      <c r="AE54" s="127">
        <f t="shared" si="13"/>
        <v>0</v>
      </c>
      <c r="AF54" s="119"/>
      <c r="AH54" s="98"/>
    </row>
    <row r="55" spans="1:34" s="152" customFormat="1" ht="18.75">
      <c r="A55" s="148" t="s">
        <v>24</v>
      </c>
      <c r="B55" s="149">
        <f>H55+J55+L55+N55+P55+R55+T55+V55+X55+Z55+AB55+AD55</f>
        <v>0</v>
      </c>
      <c r="C55" s="150">
        <f>H55+J55+L55+N55+P55+R55+T55+V55+X55</f>
        <v>0</v>
      </c>
      <c r="D55" s="150">
        <f>H55+J55+L55+N55+P55+R55+T55+V55</f>
        <v>0</v>
      </c>
      <c r="E55" s="150">
        <f>I55+K55+M55+O55+Q55+S55+U55+W55+Y55+AA55+AC55+AE55</f>
        <v>0</v>
      </c>
      <c r="F55" s="151">
        <v>0</v>
      </c>
      <c r="G55" s="151">
        <v>0</v>
      </c>
      <c r="H55" s="150">
        <v>0</v>
      </c>
      <c r="I55" s="150">
        <v>0</v>
      </c>
      <c r="J55" s="150">
        <v>0</v>
      </c>
      <c r="K55" s="150">
        <v>0</v>
      </c>
      <c r="L55" s="150">
        <v>0</v>
      </c>
      <c r="M55" s="150">
        <v>0</v>
      </c>
      <c r="N55" s="150">
        <v>0</v>
      </c>
      <c r="O55" s="150">
        <v>0</v>
      </c>
      <c r="P55" s="150">
        <v>0</v>
      </c>
      <c r="Q55" s="150">
        <v>0</v>
      </c>
      <c r="R55" s="150">
        <v>0</v>
      </c>
      <c r="S55" s="150">
        <v>0</v>
      </c>
      <c r="T55" s="150">
        <v>0</v>
      </c>
      <c r="U55" s="150">
        <v>0</v>
      </c>
      <c r="V55" s="150">
        <v>0</v>
      </c>
      <c r="W55" s="150">
        <v>0</v>
      </c>
      <c r="X55" s="150">
        <v>0</v>
      </c>
      <c r="Y55" s="150">
        <v>0</v>
      </c>
      <c r="Z55" s="150">
        <v>0</v>
      </c>
      <c r="AA55" s="150">
        <v>0</v>
      </c>
      <c r="AB55" s="150">
        <v>0</v>
      </c>
      <c r="AC55" s="150">
        <v>0</v>
      </c>
      <c r="AD55" s="150">
        <v>0</v>
      </c>
      <c r="AE55" s="150">
        <v>0</v>
      </c>
      <c r="AF55" s="161"/>
      <c r="AH55" s="153"/>
    </row>
    <row r="56" spans="1:34" s="18" customFormat="1" ht="40.5" customHeight="1">
      <c r="A56" s="114" t="s">
        <v>129</v>
      </c>
      <c r="B56" s="135"/>
      <c r="C56" s="135"/>
      <c r="D56" s="135"/>
      <c r="E56" s="135"/>
      <c r="F56" s="141"/>
      <c r="G56" s="141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21"/>
      <c r="AH56" s="98"/>
    </row>
    <row r="57" spans="1:34" s="18" customFormat="1" ht="75.75" customHeight="1">
      <c r="A57" s="47" t="s">
        <v>157</v>
      </c>
      <c r="B57" s="134"/>
      <c r="C57" s="131"/>
      <c r="D57" s="131"/>
      <c r="E57" s="131"/>
      <c r="F57" s="138"/>
      <c r="G57" s="138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20"/>
      <c r="AH57" s="98"/>
    </row>
    <row r="58" spans="1:34" s="18" customFormat="1" ht="18.75">
      <c r="A58" s="4" t="s">
        <v>22</v>
      </c>
      <c r="B58" s="129"/>
      <c r="C58" s="131"/>
      <c r="D58" s="131"/>
      <c r="E58" s="131"/>
      <c r="F58" s="138"/>
      <c r="G58" s="138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20"/>
      <c r="AH58" s="98"/>
    </row>
    <row r="59" spans="1:34" s="18" customFormat="1" ht="148.5" customHeight="1">
      <c r="A59" s="45" t="s">
        <v>158</v>
      </c>
      <c r="B59" s="129"/>
      <c r="C59" s="131"/>
      <c r="D59" s="131"/>
      <c r="E59" s="131"/>
      <c r="F59" s="138"/>
      <c r="G59" s="138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22"/>
      <c r="AH59" s="98"/>
    </row>
    <row r="60" spans="1:34" s="18" customFormat="1" ht="18.75">
      <c r="A60" s="117" t="s">
        <v>32</v>
      </c>
      <c r="B60" s="127">
        <f>B61</f>
        <v>0</v>
      </c>
      <c r="C60" s="127">
        <f aca="true" t="shared" si="14" ref="C60:AE60">C61</f>
        <v>0</v>
      </c>
      <c r="D60" s="127">
        <f t="shared" si="14"/>
        <v>0</v>
      </c>
      <c r="E60" s="127">
        <f t="shared" si="14"/>
        <v>0</v>
      </c>
      <c r="F60" s="136">
        <f t="shared" si="14"/>
        <v>0</v>
      </c>
      <c r="G60" s="136">
        <v>0</v>
      </c>
      <c r="H60" s="127">
        <f t="shared" si="14"/>
        <v>0</v>
      </c>
      <c r="I60" s="127">
        <f t="shared" si="14"/>
        <v>0</v>
      </c>
      <c r="J60" s="127">
        <f t="shared" si="14"/>
        <v>0</v>
      </c>
      <c r="K60" s="127">
        <f t="shared" si="14"/>
        <v>0</v>
      </c>
      <c r="L60" s="127">
        <f t="shared" si="14"/>
        <v>0</v>
      </c>
      <c r="M60" s="127">
        <f t="shared" si="14"/>
        <v>0</v>
      </c>
      <c r="N60" s="127">
        <f t="shared" si="14"/>
        <v>0</v>
      </c>
      <c r="O60" s="127">
        <f t="shared" si="14"/>
        <v>0</v>
      </c>
      <c r="P60" s="127">
        <f t="shared" si="14"/>
        <v>0</v>
      </c>
      <c r="Q60" s="127">
        <f t="shared" si="14"/>
        <v>0</v>
      </c>
      <c r="R60" s="127">
        <f t="shared" si="14"/>
        <v>0</v>
      </c>
      <c r="S60" s="127">
        <f t="shared" si="14"/>
        <v>0</v>
      </c>
      <c r="T60" s="127">
        <f t="shared" si="14"/>
        <v>0</v>
      </c>
      <c r="U60" s="127">
        <f t="shared" si="14"/>
        <v>0</v>
      </c>
      <c r="V60" s="127">
        <f t="shared" si="14"/>
        <v>0</v>
      </c>
      <c r="W60" s="127">
        <f t="shared" si="14"/>
        <v>0</v>
      </c>
      <c r="X60" s="127">
        <f t="shared" si="14"/>
        <v>0</v>
      </c>
      <c r="Y60" s="127">
        <f t="shared" si="14"/>
        <v>0</v>
      </c>
      <c r="Z60" s="127">
        <f t="shared" si="14"/>
        <v>0</v>
      </c>
      <c r="AA60" s="127">
        <f t="shared" si="14"/>
        <v>0</v>
      </c>
      <c r="AB60" s="127">
        <f t="shared" si="14"/>
        <v>0</v>
      </c>
      <c r="AC60" s="127">
        <f t="shared" si="14"/>
        <v>0</v>
      </c>
      <c r="AD60" s="127">
        <f t="shared" si="14"/>
        <v>0</v>
      </c>
      <c r="AE60" s="127">
        <f t="shared" si="14"/>
        <v>0</v>
      </c>
      <c r="AF60" s="119"/>
      <c r="AH60" s="98"/>
    </row>
    <row r="61" spans="1:34" s="152" customFormat="1" ht="18.75" customHeight="1">
      <c r="A61" s="148" t="s">
        <v>25</v>
      </c>
      <c r="B61" s="149">
        <f>H61+J61+L61+N61+P61+R61+T61+V61+X61+Z61+AB61+AD61</f>
        <v>0</v>
      </c>
      <c r="C61" s="150">
        <f>H61+J61+L61+N61+P61+R61+T61+V61</f>
        <v>0</v>
      </c>
      <c r="D61" s="150">
        <f>H61+J61+L61+N61+P61+R61+T61+V61</f>
        <v>0</v>
      </c>
      <c r="E61" s="150">
        <f>I61+K61+M61+O61+Q61+S61+U61+W61+Y61+AA61+AC61+AE61</f>
        <v>0</v>
      </c>
      <c r="F61" s="151">
        <v>0</v>
      </c>
      <c r="G61" s="151">
        <v>0</v>
      </c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61"/>
      <c r="AH61" s="153"/>
    </row>
    <row r="62" spans="1:34" s="18" customFormat="1" ht="134.25" customHeight="1">
      <c r="A62" s="109" t="s">
        <v>159</v>
      </c>
      <c r="B62" s="129"/>
      <c r="C62" s="131"/>
      <c r="D62" s="131"/>
      <c r="E62" s="131"/>
      <c r="F62" s="138"/>
      <c r="G62" s="138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20"/>
      <c r="AH62" s="98"/>
    </row>
    <row r="63" spans="1:34" s="18" customFormat="1" ht="18.75">
      <c r="A63" s="117" t="s">
        <v>32</v>
      </c>
      <c r="B63" s="127">
        <f>B64</f>
        <v>0</v>
      </c>
      <c r="C63" s="127">
        <f aca="true" t="shared" si="15" ref="C63:AE63">C64</f>
        <v>0</v>
      </c>
      <c r="D63" s="127">
        <f t="shared" si="15"/>
        <v>0</v>
      </c>
      <c r="E63" s="127">
        <f t="shared" si="15"/>
        <v>0</v>
      </c>
      <c r="F63" s="136">
        <v>0</v>
      </c>
      <c r="G63" s="136">
        <v>0</v>
      </c>
      <c r="H63" s="127">
        <f t="shared" si="15"/>
        <v>0</v>
      </c>
      <c r="I63" s="127">
        <f t="shared" si="15"/>
        <v>0</v>
      </c>
      <c r="J63" s="127">
        <f t="shared" si="15"/>
        <v>0</v>
      </c>
      <c r="K63" s="127">
        <f t="shared" si="15"/>
        <v>0</v>
      </c>
      <c r="L63" s="127">
        <f t="shared" si="15"/>
        <v>0</v>
      </c>
      <c r="M63" s="127">
        <f t="shared" si="15"/>
        <v>0</v>
      </c>
      <c r="N63" s="127">
        <f t="shared" si="15"/>
        <v>0</v>
      </c>
      <c r="O63" s="127">
        <f t="shared" si="15"/>
        <v>0</v>
      </c>
      <c r="P63" s="127">
        <f t="shared" si="15"/>
        <v>0</v>
      </c>
      <c r="Q63" s="127">
        <f t="shared" si="15"/>
        <v>0</v>
      </c>
      <c r="R63" s="127">
        <f t="shared" si="15"/>
        <v>0</v>
      </c>
      <c r="S63" s="127">
        <f t="shared" si="15"/>
        <v>0</v>
      </c>
      <c r="T63" s="127">
        <f t="shared" si="15"/>
        <v>0</v>
      </c>
      <c r="U63" s="127">
        <f t="shared" si="15"/>
        <v>0</v>
      </c>
      <c r="V63" s="127">
        <f t="shared" si="15"/>
        <v>0</v>
      </c>
      <c r="W63" s="127">
        <f t="shared" si="15"/>
        <v>0</v>
      </c>
      <c r="X63" s="127">
        <f t="shared" si="15"/>
        <v>0</v>
      </c>
      <c r="Y63" s="127">
        <f t="shared" si="15"/>
        <v>0</v>
      </c>
      <c r="Z63" s="127">
        <f t="shared" si="15"/>
        <v>0</v>
      </c>
      <c r="AA63" s="127">
        <f t="shared" si="15"/>
        <v>0</v>
      </c>
      <c r="AB63" s="127">
        <f t="shared" si="15"/>
        <v>0</v>
      </c>
      <c r="AC63" s="127">
        <f t="shared" si="15"/>
        <v>0</v>
      </c>
      <c r="AD63" s="127">
        <f t="shared" si="15"/>
        <v>0</v>
      </c>
      <c r="AE63" s="127">
        <f t="shared" si="15"/>
        <v>0</v>
      </c>
      <c r="AF63" s="119"/>
      <c r="AH63" s="98"/>
    </row>
    <row r="64" spans="1:34" s="152" customFormat="1" ht="18.75">
      <c r="A64" s="148" t="s">
        <v>25</v>
      </c>
      <c r="B64" s="149">
        <f>H64+J64+L64+N64+P64+R64+T64+V64+X64+Z64+AB64+AD64</f>
        <v>0</v>
      </c>
      <c r="C64" s="150">
        <f>H64+J64+L64+N64+P64+R64+T64+V64+X64+Z64+AB64+AD64</f>
        <v>0</v>
      </c>
      <c r="D64" s="150">
        <v>0</v>
      </c>
      <c r="E64" s="150">
        <f>I64+K64+M64+O64+Q64+S64+U64+W64+Y64+AA64+AC64+AE64</f>
        <v>0</v>
      </c>
      <c r="F64" s="151">
        <v>0</v>
      </c>
      <c r="G64" s="151">
        <v>0</v>
      </c>
      <c r="H64" s="150">
        <v>0</v>
      </c>
      <c r="I64" s="150"/>
      <c r="J64" s="150">
        <v>0</v>
      </c>
      <c r="K64" s="150"/>
      <c r="L64" s="150">
        <v>0</v>
      </c>
      <c r="M64" s="150"/>
      <c r="N64" s="150">
        <v>0</v>
      </c>
      <c r="O64" s="150">
        <v>0</v>
      </c>
      <c r="P64" s="150">
        <v>0</v>
      </c>
      <c r="Q64" s="150"/>
      <c r="R64" s="150">
        <v>0</v>
      </c>
      <c r="S64" s="150"/>
      <c r="T64" s="150">
        <v>0</v>
      </c>
      <c r="U64" s="150"/>
      <c r="V64" s="150">
        <v>0</v>
      </c>
      <c r="W64" s="150"/>
      <c r="X64" s="150">
        <v>0</v>
      </c>
      <c r="Y64" s="150"/>
      <c r="Z64" s="150">
        <v>0</v>
      </c>
      <c r="AA64" s="150"/>
      <c r="AB64" s="150">
        <v>0</v>
      </c>
      <c r="AC64" s="150"/>
      <c r="AD64" s="150">
        <v>0</v>
      </c>
      <c r="AE64" s="150">
        <v>0</v>
      </c>
      <c r="AF64" s="161"/>
      <c r="AH64" s="153"/>
    </row>
    <row r="65" spans="1:34" s="18" customFormat="1" ht="97.5" customHeight="1">
      <c r="A65" s="45" t="s">
        <v>160</v>
      </c>
      <c r="B65" s="129"/>
      <c r="C65" s="131"/>
      <c r="D65" s="131"/>
      <c r="E65" s="131"/>
      <c r="F65" s="138"/>
      <c r="G65" s="138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20" t="s">
        <v>171</v>
      </c>
      <c r="AH65" s="98"/>
    </row>
    <row r="66" spans="1:34" s="18" customFormat="1" ht="18.75">
      <c r="A66" s="117" t="s">
        <v>32</v>
      </c>
      <c r="B66" s="127">
        <f>B67</f>
        <v>40</v>
      </c>
      <c r="C66" s="127">
        <f aca="true" t="shared" si="16" ref="C66:AE66">C67</f>
        <v>40</v>
      </c>
      <c r="D66" s="127">
        <f t="shared" si="16"/>
        <v>40</v>
      </c>
      <c r="E66" s="127">
        <f t="shared" si="16"/>
        <v>39.282650000000004</v>
      </c>
      <c r="F66" s="136">
        <f>E66/B66</f>
        <v>0.9820662500000001</v>
      </c>
      <c r="G66" s="136">
        <f>E66/C66</f>
        <v>0.9820662500000001</v>
      </c>
      <c r="H66" s="127">
        <f t="shared" si="16"/>
        <v>0</v>
      </c>
      <c r="I66" s="127">
        <f t="shared" si="16"/>
        <v>0</v>
      </c>
      <c r="J66" s="127">
        <f t="shared" si="16"/>
        <v>0</v>
      </c>
      <c r="K66" s="127">
        <f t="shared" si="16"/>
        <v>0</v>
      </c>
      <c r="L66" s="127">
        <f t="shared" si="16"/>
        <v>0</v>
      </c>
      <c r="M66" s="127">
        <f t="shared" si="16"/>
        <v>0</v>
      </c>
      <c r="N66" s="127">
        <f t="shared" si="16"/>
        <v>0</v>
      </c>
      <c r="O66" s="127">
        <f t="shared" si="16"/>
        <v>0</v>
      </c>
      <c r="P66" s="127">
        <f t="shared" si="16"/>
        <v>25.8</v>
      </c>
      <c r="Q66" s="127">
        <f t="shared" si="16"/>
        <v>25.1</v>
      </c>
      <c r="R66" s="127">
        <f t="shared" si="16"/>
        <v>0</v>
      </c>
      <c r="S66" s="127">
        <f t="shared" si="16"/>
        <v>0</v>
      </c>
      <c r="T66" s="127">
        <f t="shared" si="16"/>
        <v>14.2</v>
      </c>
      <c r="U66" s="127">
        <f t="shared" si="16"/>
        <v>14.182649999999999</v>
      </c>
      <c r="V66" s="127">
        <f t="shared" si="16"/>
        <v>0</v>
      </c>
      <c r="W66" s="127">
        <f t="shared" si="16"/>
        <v>0</v>
      </c>
      <c r="X66" s="127">
        <f t="shared" si="16"/>
        <v>0</v>
      </c>
      <c r="Y66" s="127">
        <f t="shared" si="16"/>
        <v>0</v>
      </c>
      <c r="Z66" s="127">
        <f t="shared" si="16"/>
        <v>0</v>
      </c>
      <c r="AA66" s="127">
        <f t="shared" si="16"/>
        <v>0</v>
      </c>
      <c r="AB66" s="127">
        <f t="shared" si="16"/>
        <v>0</v>
      </c>
      <c r="AC66" s="127">
        <f t="shared" si="16"/>
        <v>0</v>
      </c>
      <c r="AD66" s="127">
        <f t="shared" si="16"/>
        <v>0</v>
      </c>
      <c r="AE66" s="127">
        <f t="shared" si="16"/>
        <v>0</v>
      </c>
      <c r="AF66" s="119"/>
      <c r="AH66" s="98"/>
    </row>
    <row r="67" spans="1:34" s="152" customFormat="1" ht="18.75">
      <c r="A67" s="148" t="s">
        <v>25</v>
      </c>
      <c r="B67" s="149">
        <f>H67+J67+L67+N67+P67+R67+T67+V67+X67+Z67+AB67+AD67</f>
        <v>40</v>
      </c>
      <c r="C67" s="150">
        <f>H67+J67+L67+N67+P67+R67+T67+V67</f>
        <v>40</v>
      </c>
      <c r="D67" s="150">
        <f>C67</f>
        <v>40</v>
      </c>
      <c r="E67" s="150">
        <f>I67+K67+M67+O67+Q67+S67+U67+W67+Y67+AA67+AC67+AE67</f>
        <v>39.282650000000004</v>
      </c>
      <c r="F67" s="151">
        <f>E67/B67</f>
        <v>0.9820662500000001</v>
      </c>
      <c r="G67" s="151">
        <f>E67/C67</f>
        <v>0.9820662500000001</v>
      </c>
      <c r="H67" s="150"/>
      <c r="I67" s="150"/>
      <c r="J67" s="150"/>
      <c r="K67" s="150"/>
      <c r="L67" s="150"/>
      <c r="M67" s="150"/>
      <c r="N67" s="150"/>
      <c r="O67" s="150"/>
      <c r="P67" s="150">
        <v>25.8</v>
      </c>
      <c r="Q67" s="150">
        <f>25100/1000</f>
        <v>25.1</v>
      </c>
      <c r="R67" s="150"/>
      <c r="S67" s="150"/>
      <c r="T67" s="150">
        <v>14.2</v>
      </c>
      <c r="U67" s="150">
        <f>14182.65/1000</f>
        <v>14.182649999999999</v>
      </c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61"/>
      <c r="AH67" s="153"/>
    </row>
    <row r="68" spans="1:34" s="18" customFormat="1" ht="305.25" customHeight="1">
      <c r="A68" s="109" t="s">
        <v>161</v>
      </c>
      <c r="B68" s="129"/>
      <c r="C68" s="131"/>
      <c r="D68" s="131"/>
      <c r="E68" s="131"/>
      <c r="F68" s="138"/>
      <c r="G68" s="138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22" t="s">
        <v>182</v>
      </c>
      <c r="AH68" s="98"/>
    </row>
    <row r="69" spans="1:34" s="18" customFormat="1" ht="18.75">
      <c r="A69" s="117" t="s">
        <v>32</v>
      </c>
      <c r="B69" s="127">
        <f>B70</f>
        <v>2930.3999999999996</v>
      </c>
      <c r="C69" s="127">
        <f>C70</f>
        <v>2173.0233599999997</v>
      </c>
      <c r="D69" s="127">
        <f>D70</f>
        <v>2026.8</v>
      </c>
      <c r="E69" s="127">
        <f>E70</f>
        <v>1875.90667</v>
      </c>
      <c r="F69" s="136">
        <f>E69/B69</f>
        <v>0.6401537912912914</v>
      </c>
      <c r="G69" s="136">
        <f>E69/C69</f>
        <v>0.8632703653954279</v>
      </c>
      <c r="H69" s="127">
        <f aca="true" t="shared" si="17" ref="H69:AE69">H70</f>
        <v>456.256</v>
      </c>
      <c r="I69" s="127">
        <f t="shared" si="17"/>
        <v>313.96285</v>
      </c>
      <c r="J69" s="127">
        <f t="shared" si="17"/>
        <v>225.14579</v>
      </c>
      <c r="K69" s="127">
        <f t="shared" si="17"/>
        <v>160.97418</v>
      </c>
      <c r="L69" s="127">
        <f t="shared" si="17"/>
        <v>93.23003999999999</v>
      </c>
      <c r="M69" s="127">
        <f t="shared" si="17"/>
        <v>170.64538000000002</v>
      </c>
      <c r="N69" s="127">
        <f t="shared" si="17"/>
        <v>225.69409</v>
      </c>
      <c r="O69" s="127">
        <f t="shared" si="17"/>
        <v>211.07138</v>
      </c>
      <c r="P69" s="127">
        <f t="shared" si="17"/>
        <v>309.08152</v>
      </c>
      <c r="Q69" s="127">
        <f t="shared" si="17"/>
        <v>172.78172</v>
      </c>
      <c r="R69" s="127">
        <f t="shared" si="17"/>
        <v>269.91158</v>
      </c>
      <c r="S69" s="127">
        <f t="shared" si="17"/>
        <v>291.47384000000005</v>
      </c>
      <c r="T69" s="127">
        <f t="shared" si="17"/>
        <v>372.85835</v>
      </c>
      <c r="U69" s="127">
        <f t="shared" si="17"/>
        <v>344.77806</v>
      </c>
      <c r="V69" s="127">
        <f t="shared" si="17"/>
        <v>220.84599</v>
      </c>
      <c r="W69" s="127">
        <f t="shared" si="17"/>
        <v>210.21926000000002</v>
      </c>
      <c r="X69" s="127">
        <f t="shared" si="17"/>
        <v>82.85803999999999</v>
      </c>
      <c r="Y69" s="127">
        <f t="shared" si="17"/>
        <v>0</v>
      </c>
      <c r="Z69" s="127">
        <f t="shared" si="17"/>
        <v>286.03415</v>
      </c>
      <c r="AA69" s="127">
        <f t="shared" si="17"/>
        <v>0</v>
      </c>
      <c r="AB69" s="127">
        <f t="shared" si="17"/>
        <v>75.23213</v>
      </c>
      <c r="AC69" s="127">
        <f t="shared" si="17"/>
        <v>0</v>
      </c>
      <c r="AD69" s="127">
        <f t="shared" si="17"/>
        <v>313.25232</v>
      </c>
      <c r="AE69" s="127">
        <f t="shared" si="17"/>
        <v>0</v>
      </c>
      <c r="AF69" s="119"/>
      <c r="AH69" s="98"/>
    </row>
    <row r="70" spans="1:34" s="152" customFormat="1" ht="18.75">
      <c r="A70" s="148" t="s">
        <v>24</v>
      </c>
      <c r="B70" s="149">
        <f>H70+J70+L70+N70+P70+R70+T70+V70+X70+Z70+AB70+AD70</f>
        <v>2930.3999999999996</v>
      </c>
      <c r="C70" s="150">
        <f>H70+J70+L70+N70+P70+R70+T70+V70</f>
        <v>2173.0233599999997</v>
      </c>
      <c r="D70" s="150">
        <v>2026.8</v>
      </c>
      <c r="E70" s="150">
        <f>I70+K70+M70+O70+Q70+S70+U70+W70+Y70+AA70+AC70+AE70</f>
        <v>1875.90667</v>
      </c>
      <c r="F70" s="151">
        <f>E70/B70</f>
        <v>0.6401537912912914</v>
      </c>
      <c r="G70" s="151">
        <f>E70/C70</f>
        <v>0.8632703653954279</v>
      </c>
      <c r="H70" s="150">
        <f>456256/1000</f>
        <v>456.256</v>
      </c>
      <c r="I70" s="150">
        <f>313962.85/1000</f>
        <v>313.96285</v>
      </c>
      <c r="J70" s="150">
        <f>225145.79/1000</f>
        <v>225.14579</v>
      </c>
      <c r="K70" s="150">
        <f>160974.18/1000</f>
        <v>160.97418</v>
      </c>
      <c r="L70" s="150">
        <f>93230.04/1000</f>
        <v>93.23003999999999</v>
      </c>
      <c r="M70" s="150">
        <f>170645.38/1000</f>
        <v>170.64538000000002</v>
      </c>
      <c r="N70" s="150">
        <f>225694.09/1000</f>
        <v>225.69409</v>
      </c>
      <c r="O70" s="150">
        <f>211071.38/1000</f>
        <v>211.07138</v>
      </c>
      <c r="P70" s="150">
        <f>309081.52/1000</f>
        <v>309.08152</v>
      </c>
      <c r="Q70" s="150">
        <f>172781.72/1000</f>
        <v>172.78172</v>
      </c>
      <c r="R70" s="150">
        <f>269911.58/1000</f>
        <v>269.91158</v>
      </c>
      <c r="S70" s="150">
        <f>291473.84/1000</f>
        <v>291.47384000000005</v>
      </c>
      <c r="T70" s="150">
        <f>372858.35/1000</f>
        <v>372.85835</v>
      </c>
      <c r="U70" s="150">
        <f>344778.06/1000</f>
        <v>344.77806</v>
      </c>
      <c r="V70" s="150">
        <f>220845.99/1000</f>
        <v>220.84599</v>
      </c>
      <c r="W70" s="150">
        <f>210219.26/1000</f>
        <v>210.21926000000002</v>
      </c>
      <c r="X70" s="150">
        <f>82858.04/1000</f>
        <v>82.85803999999999</v>
      </c>
      <c r="Y70" s="150">
        <v>0</v>
      </c>
      <c r="Z70" s="150">
        <f>286034.15/1000</f>
        <v>286.03415</v>
      </c>
      <c r="AA70" s="150">
        <v>0</v>
      </c>
      <c r="AB70" s="150">
        <f>75232.13/1000</f>
        <v>75.23213</v>
      </c>
      <c r="AC70" s="150">
        <v>0</v>
      </c>
      <c r="AD70" s="150">
        <f>313252.32/1000</f>
        <v>313.25232</v>
      </c>
      <c r="AE70" s="150">
        <v>0</v>
      </c>
      <c r="AF70" s="162"/>
      <c r="AH70" s="153"/>
    </row>
    <row r="71" spans="1:34" s="18" customFormat="1" ht="56.25">
      <c r="A71" s="5" t="s">
        <v>162</v>
      </c>
      <c r="B71" s="134"/>
      <c r="C71" s="131"/>
      <c r="D71" s="131"/>
      <c r="E71" s="131"/>
      <c r="F71" s="138"/>
      <c r="G71" s="138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  <c r="AF71" s="120"/>
      <c r="AH71" s="98"/>
    </row>
    <row r="72" spans="1:34" s="18" customFormat="1" ht="18.75">
      <c r="A72" s="4" t="s">
        <v>22</v>
      </c>
      <c r="B72" s="129"/>
      <c r="C72" s="131"/>
      <c r="D72" s="131"/>
      <c r="E72" s="131"/>
      <c r="F72" s="138"/>
      <c r="G72" s="138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1"/>
      <c r="AD72" s="131"/>
      <c r="AE72" s="131"/>
      <c r="AF72" s="120"/>
      <c r="AH72" s="98"/>
    </row>
    <row r="73" spans="1:34" s="18" customFormat="1" ht="60" customHeight="1">
      <c r="A73" s="45" t="s">
        <v>163</v>
      </c>
      <c r="B73" s="129"/>
      <c r="C73" s="131"/>
      <c r="D73" s="131"/>
      <c r="E73" s="131"/>
      <c r="F73" s="138"/>
      <c r="G73" s="138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20"/>
      <c r="AH73" s="98"/>
    </row>
    <row r="74" spans="1:34" s="18" customFormat="1" ht="18.75">
      <c r="A74" s="117" t="s">
        <v>32</v>
      </c>
      <c r="B74" s="127">
        <f>B75</f>
        <v>0</v>
      </c>
      <c r="C74" s="127">
        <f aca="true" t="shared" si="18" ref="C74:AE74">C75</f>
        <v>0</v>
      </c>
      <c r="D74" s="127">
        <f t="shared" si="18"/>
        <v>0</v>
      </c>
      <c r="E74" s="127">
        <f t="shared" si="18"/>
        <v>0</v>
      </c>
      <c r="F74" s="136">
        <f t="shared" si="18"/>
        <v>0</v>
      </c>
      <c r="G74" s="136">
        <v>0</v>
      </c>
      <c r="H74" s="127">
        <f t="shared" si="18"/>
        <v>0</v>
      </c>
      <c r="I74" s="127">
        <f t="shared" si="18"/>
        <v>0</v>
      </c>
      <c r="J74" s="127">
        <f t="shared" si="18"/>
        <v>0</v>
      </c>
      <c r="K74" s="127">
        <f t="shared" si="18"/>
        <v>0</v>
      </c>
      <c r="L74" s="127">
        <f t="shared" si="18"/>
        <v>0</v>
      </c>
      <c r="M74" s="127">
        <f t="shared" si="18"/>
        <v>0</v>
      </c>
      <c r="N74" s="127">
        <f t="shared" si="18"/>
        <v>0</v>
      </c>
      <c r="O74" s="127">
        <f t="shared" si="18"/>
        <v>0</v>
      </c>
      <c r="P74" s="127">
        <f t="shared" si="18"/>
        <v>0</v>
      </c>
      <c r="Q74" s="127">
        <f t="shared" si="18"/>
        <v>0</v>
      </c>
      <c r="R74" s="127">
        <f t="shared" si="18"/>
        <v>0</v>
      </c>
      <c r="S74" s="127">
        <f t="shared" si="18"/>
        <v>0</v>
      </c>
      <c r="T74" s="127">
        <f t="shared" si="18"/>
        <v>0</v>
      </c>
      <c r="U74" s="127">
        <f t="shared" si="18"/>
        <v>0</v>
      </c>
      <c r="V74" s="127">
        <f t="shared" si="18"/>
        <v>0</v>
      </c>
      <c r="W74" s="127">
        <f t="shared" si="18"/>
        <v>0</v>
      </c>
      <c r="X74" s="127">
        <f t="shared" si="18"/>
        <v>0</v>
      </c>
      <c r="Y74" s="127">
        <f t="shared" si="18"/>
        <v>0</v>
      </c>
      <c r="Z74" s="127">
        <f t="shared" si="18"/>
        <v>0</v>
      </c>
      <c r="AA74" s="127">
        <f t="shared" si="18"/>
        <v>0</v>
      </c>
      <c r="AB74" s="127">
        <f t="shared" si="18"/>
        <v>0</v>
      </c>
      <c r="AC74" s="127">
        <f t="shared" si="18"/>
        <v>0</v>
      </c>
      <c r="AD74" s="127">
        <f t="shared" si="18"/>
        <v>0</v>
      </c>
      <c r="AE74" s="127">
        <f t="shared" si="18"/>
        <v>0</v>
      </c>
      <c r="AF74" s="118"/>
      <c r="AH74" s="98"/>
    </row>
    <row r="75" spans="1:34" s="152" customFormat="1" ht="18.75">
      <c r="A75" s="148" t="s">
        <v>25</v>
      </c>
      <c r="B75" s="149">
        <f>H75+J75+L75+N75+P75+R75+T75+V75+X75+Z75+AB75+AD75</f>
        <v>0</v>
      </c>
      <c r="C75" s="150">
        <f>H75+J75+L75+N75+P75+R75+T75+V75+X75</f>
        <v>0</v>
      </c>
      <c r="D75" s="150">
        <f>H75+J75+L75+N75+P75+R75+T75+V75</f>
        <v>0</v>
      </c>
      <c r="E75" s="150">
        <f>I75+K75+M75+O75+Q75+S75+U75+W75+Y75+AA75+AC75+AE75</f>
        <v>0</v>
      </c>
      <c r="F75" s="151">
        <v>0</v>
      </c>
      <c r="G75" s="151">
        <v>0</v>
      </c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61"/>
      <c r="AH75" s="153"/>
    </row>
    <row r="76" spans="1:34" s="18" customFormat="1" ht="186" customHeight="1">
      <c r="A76" s="46" t="s">
        <v>164</v>
      </c>
      <c r="B76" s="130"/>
      <c r="C76" s="131"/>
      <c r="D76" s="131"/>
      <c r="E76" s="131"/>
      <c r="F76" s="138"/>
      <c r="G76" s="138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22"/>
      <c r="AH76" s="98"/>
    </row>
    <row r="77" spans="1:34" s="18" customFormat="1" ht="18.75">
      <c r="A77" s="117" t="s">
        <v>32</v>
      </c>
      <c r="B77" s="127">
        <f>B78</f>
        <v>0</v>
      </c>
      <c r="C77" s="127">
        <f aca="true" t="shared" si="19" ref="C77:AE77">C78</f>
        <v>0</v>
      </c>
      <c r="D77" s="127">
        <f t="shared" si="19"/>
        <v>0</v>
      </c>
      <c r="E77" s="127">
        <f t="shared" si="19"/>
        <v>0</v>
      </c>
      <c r="F77" s="136">
        <f t="shared" si="19"/>
        <v>0</v>
      </c>
      <c r="G77" s="136">
        <v>0</v>
      </c>
      <c r="H77" s="127">
        <f t="shared" si="19"/>
        <v>0</v>
      </c>
      <c r="I77" s="127">
        <f t="shared" si="19"/>
        <v>0</v>
      </c>
      <c r="J77" s="127">
        <f t="shared" si="19"/>
        <v>0</v>
      </c>
      <c r="K77" s="127">
        <f t="shared" si="19"/>
        <v>0</v>
      </c>
      <c r="L77" s="127">
        <f t="shared" si="19"/>
        <v>0</v>
      </c>
      <c r="M77" s="127">
        <f t="shared" si="19"/>
        <v>0</v>
      </c>
      <c r="N77" s="127">
        <f t="shared" si="19"/>
        <v>0</v>
      </c>
      <c r="O77" s="127">
        <f t="shared" si="19"/>
        <v>0</v>
      </c>
      <c r="P77" s="127">
        <f t="shared" si="19"/>
        <v>0</v>
      </c>
      <c r="Q77" s="127">
        <f t="shared" si="19"/>
        <v>0</v>
      </c>
      <c r="R77" s="127">
        <f t="shared" si="19"/>
        <v>0</v>
      </c>
      <c r="S77" s="127">
        <f t="shared" si="19"/>
        <v>0</v>
      </c>
      <c r="T77" s="127">
        <f t="shared" si="19"/>
        <v>0</v>
      </c>
      <c r="U77" s="127">
        <f t="shared" si="19"/>
        <v>0</v>
      </c>
      <c r="V77" s="127">
        <f t="shared" si="19"/>
        <v>0</v>
      </c>
      <c r="W77" s="127">
        <f t="shared" si="19"/>
        <v>0</v>
      </c>
      <c r="X77" s="127">
        <f t="shared" si="19"/>
        <v>0</v>
      </c>
      <c r="Y77" s="127">
        <f t="shared" si="19"/>
        <v>0</v>
      </c>
      <c r="Z77" s="127">
        <f t="shared" si="19"/>
        <v>0</v>
      </c>
      <c r="AA77" s="127">
        <f t="shared" si="19"/>
        <v>0</v>
      </c>
      <c r="AB77" s="127">
        <f t="shared" si="19"/>
        <v>0</v>
      </c>
      <c r="AC77" s="127">
        <f t="shared" si="19"/>
        <v>0</v>
      </c>
      <c r="AD77" s="127">
        <f t="shared" si="19"/>
        <v>0</v>
      </c>
      <c r="AE77" s="127">
        <f t="shared" si="19"/>
        <v>0</v>
      </c>
      <c r="AF77" s="118"/>
      <c r="AH77" s="98"/>
    </row>
    <row r="78" spans="1:34" s="152" customFormat="1" ht="18.75">
      <c r="A78" s="148" t="s">
        <v>25</v>
      </c>
      <c r="B78" s="149">
        <f>H78+J78+L78+N78+P78+R78+T78+V78+X78+Z78+AB78+AD78</f>
        <v>0</v>
      </c>
      <c r="C78" s="150">
        <f>H78+J78+L78+N78+P78+R78+T78+V78+X78</f>
        <v>0</v>
      </c>
      <c r="D78" s="150">
        <f>H78+J78+L78+N78+P78+R78+T78+V78</f>
        <v>0</v>
      </c>
      <c r="E78" s="150">
        <f>I78+K78+M78+O78+Q78+S78+U78+W78+Y78+AA78+AC78+AE78</f>
        <v>0</v>
      </c>
      <c r="F78" s="151">
        <v>0</v>
      </c>
      <c r="G78" s="151">
        <v>0</v>
      </c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61"/>
      <c r="AH78" s="153"/>
    </row>
    <row r="79" spans="1:34" s="49" customFormat="1" ht="18.75">
      <c r="A79" s="117" t="s">
        <v>33</v>
      </c>
      <c r="B79" s="127">
        <f>B81+B82+B80</f>
        <v>20696.17</v>
      </c>
      <c r="C79" s="127">
        <f>C81+C82+C80</f>
        <v>16102.556389999998</v>
      </c>
      <c r="D79" s="127">
        <f>D81+D82+D80</f>
        <v>15514.367019999998</v>
      </c>
      <c r="E79" s="127">
        <f>E81+E82+E80</f>
        <v>14082.569319999999</v>
      </c>
      <c r="F79" s="142">
        <f>E79/B79</f>
        <v>0.6804432568924589</v>
      </c>
      <c r="G79" s="142">
        <f>E79/C79</f>
        <v>0.8745548830212792</v>
      </c>
      <c r="H79" s="127">
        <f>H81+H82+H80</f>
        <v>522.0455999999999</v>
      </c>
      <c r="I79" s="127">
        <f aca="true" t="shared" si="20" ref="I79:AE79">I81+I82+I80</f>
        <v>313.96285</v>
      </c>
      <c r="J79" s="127">
        <f t="shared" si="20"/>
        <v>900.60994</v>
      </c>
      <c r="K79" s="127">
        <f t="shared" si="20"/>
        <v>606.95418</v>
      </c>
      <c r="L79" s="127">
        <f t="shared" si="20"/>
        <v>985.2391399999999</v>
      </c>
      <c r="M79" s="127">
        <f t="shared" si="20"/>
        <v>1019.8553800000001</v>
      </c>
      <c r="N79" s="127">
        <f t="shared" si="20"/>
        <v>1356.0076999999999</v>
      </c>
      <c r="O79" s="127">
        <f t="shared" si="20"/>
        <v>1260.24138</v>
      </c>
      <c r="P79" s="127">
        <f t="shared" si="20"/>
        <v>1838.72923</v>
      </c>
      <c r="Q79" s="127">
        <f t="shared" si="20"/>
        <v>1279.6717199999998</v>
      </c>
      <c r="R79" s="127">
        <f t="shared" si="20"/>
        <v>3586.864380000001</v>
      </c>
      <c r="S79" s="127">
        <f t="shared" si="20"/>
        <v>3232.7138400000003</v>
      </c>
      <c r="T79" s="127">
        <f t="shared" si="20"/>
        <v>3471.70193</v>
      </c>
      <c r="U79" s="127">
        <f t="shared" si="20"/>
        <v>3747.35071</v>
      </c>
      <c r="V79" s="127">
        <f t="shared" si="20"/>
        <v>3441.35847</v>
      </c>
      <c r="W79" s="127">
        <f t="shared" si="20"/>
        <v>2621.81926</v>
      </c>
      <c r="X79" s="127">
        <f t="shared" si="20"/>
        <v>1047.23406</v>
      </c>
      <c r="Y79" s="127">
        <f t="shared" si="20"/>
        <v>0</v>
      </c>
      <c r="Z79" s="127">
        <f t="shared" si="20"/>
        <v>1270.34419</v>
      </c>
      <c r="AA79" s="127">
        <f t="shared" si="20"/>
        <v>0</v>
      </c>
      <c r="AB79" s="127">
        <f t="shared" si="20"/>
        <v>916.49333</v>
      </c>
      <c r="AC79" s="127">
        <f t="shared" si="20"/>
        <v>0</v>
      </c>
      <c r="AD79" s="127">
        <f t="shared" si="20"/>
        <v>1359.54203</v>
      </c>
      <c r="AE79" s="127">
        <f t="shared" si="20"/>
        <v>0</v>
      </c>
      <c r="AF79" s="118"/>
      <c r="AH79" s="100"/>
    </row>
    <row r="80" spans="1:34" s="146" customFormat="1" ht="18.75">
      <c r="A80" s="143" t="s">
        <v>24</v>
      </c>
      <c r="B80" s="144">
        <f>B15+B19+B23+B55+B70</f>
        <v>4345.7</v>
      </c>
      <c r="C80" s="144">
        <f>C15+C19+C23+C55+C70</f>
        <v>3380.7913599999997</v>
      </c>
      <c r="D80" s="144">
        <f>D15+D19+D23+D55+D70</f>
        <v>2792.60199</v>
      </c>
      <c r="E80" s="144">
        <f>E15+E19+E23+E55+E70</f>
        <v>2460.52667</v>
      </c>
      <c r="F80" s="145">
        <f>E80/B80</f>
        <v>0.5661980049244081</v>
      </c>
      <c r="G80" s="145">
        <f>E80/C80</f>
        <v>0.727796071390812</v>
      </c>
      <c r="H80" s="144">
        <f>H15+H19+H23+H55+H70</f>
        <v>456.256</v>
      </c>
      <c r="I80" s="144">
        <f aca="true" t="shared" si="21" ref="I80:AE80">I15+I19+I23+I55+I70</f>
        <v>313.96285</v>
      </c>
      <c r="J80" s="144">
        <f t="shared" si="21"/>
        <v>261.48634</v>
      </c>
      <c r="K80" s="144">
        <f t="shared" si="21"/>
        <v>170.19418</v>
      </c>
      <c r="L80" s="144">
        <f t="shared" si="21"/>
        <v>166.27614999999997</v>
      </c>
      <c r="M80" s="144">
        <f t="shared" si="21"/>
        <v>222.45538000000002</v>
      </c>
      <c r="N80" s="144">
        <f t="shared" si="21"/>
        <v>288.03675999999996</v>
      </c>
      <c r="O80" s="144">
        <f t="shared" si="21"/>
        <v>298.70138</v>
      </c>
      <c r="P80" s="144">
        <f t="shared" si="21"/>
        <v>371.48819000000003</v>
      </c>
      <c r="Q80" s="144">
        <f t="shared" si="21"/>
        <v>177.75172</v>
      </c>
      <c r="R80" s="144">
        <f t="shared" si="21"/>
        <v>577.11558</v>
      </c>
      <c r="S80" s="144">
        <f t="shared" si="21"/>
        <v>527.4938400000001</v>
      </c>
      <c r="T80" s="144">
        <f t="shared" si="21"/>
        <v>464.47735</v>
      </c>
      <c r="U80" s="144">
        <f t="shared" si="21"/>
        <v>344.77806</v>
      </c>
      <c r="V80" s="144">
        <f t="shared" si="21"/>
        <v>795.65499</v>
      </c>
      <c r="W80" s="144">
        <f t="shared" si="21"/>
        <v>405.18926</v>
      </c>
      <c r="X80" s="144">
        <f t="shared" si="21"/>
        <v>141.40204</v>
      </c>
      <c r="Y80" s="144">
        <f t="shared" si="21"/>
        <v>0</v>
      </c>
      <c r="Z80" s="144">
        <f t="shared" si="21"/>
        <v>346.62189</v>
      </c>
      <c r="AA80" s="144">
        <f t="shared" si="21"/>
        <v>0</v>
      </c>
      <c r="AB80" s="144">
        <f t="shared" si="21"/>
        <v>163.63239</v>
      </c>
      <c r="AC80" s="144">
        <f t="shared" si="21"/>
        <v>0</v>
      </c>
      <c r="AD80" s="144">
        <f t="shared" si="21"/>
        <v>313.25232</v>
      </c>
      <c r="AE80" s="144">
        <f t="shared" si="21"/>
        <v>0</v>
      </c>
      <c r="AF80" s="163"/>
      <c r="AH80" s="147"/>
    </row>
    <row r="81" spans="1:34" s="146" customFormat="1" ht="18.75">
      <c r="A81" s="143" t="s">
        <v>155</v>
      </c>
      <c r="B81" s="144">
        <f>B50</f>
        <v>218.07</v>
      </c>
      <c r="C81" s="144">
        <f>C50</f>
        <v>218.07</v>
      </c>
      <c r="D81" s="144">
        <f>D50</f>
        <v>218.07</v>
      </c>
      <c r="E81" s="144">
        <f>E50</f>
        <v>218.07</v>
      </c>
      <c r="F81" s="145">
        <f>E81/B81</f>
        <v>1</v>
      </c>
      <c r="G81" s="145">
        <f>E81/C81</f>
        <v>1</v>
      </c>
      <c r="H81" s="144">
        <f>H50</f>
        <v>0</v>
      </c>
      <c r="I81" s="144">
        <f aca="true" t="shared" si="22" ref="I81:AE81">I50</f>
        <v>0</v>
      </c>
      <c r="J81" s="144">
        <f t="shared" si="22"/>
        <v>0</v>
      </c>
      <c r="K81" s="144">
        <f t="shared" si="22"/>
        <v>0</v>
      </c>
      <c r="L81" s="144">
        <f t="shared" si="22"/>
        <v>0</v>
      </c>
      <c r="M81" s="144">
        <f t="shared" si="22"/>
        <v>0</v>
      </c>
      <c r="N81" s="144">
        <f t="shared" si="22"/>
        <v>0</v>
      </c>
      <c r="O81" s="144">
        <f t="shared" si="22"/>
        <v>0</v>
      </c>
      <c r="P81" s="144">
        <f t="shared" si="22"/>
        <v>0</v>
      </c>
      <c r="Q81" s="144">
        <f t="shared" si="22"/>
        <v>0</v>
      </c>
      <c r="R81" s="144">
        <f t="shared" si="22"/>
        <v>218.07</v>
      </c>
      <c r="S81" s="144">
        <f t="shared" si="22"/>
        <v>0</v>
      </c>
      <c r="T81" s="144">
        <f t="shared" si="22"/>
        <v>0</v>
      </c>
      <c r="U81" s="144">
        <f t="shared" si="22"/>
        <v>218.07</v>
      </c>
      <c r="V81" s="144">
        <f t="shared" si="22"/>
        <v>0</v>
      </c>
      <c r="W81" s="144">
        <f t="shared" si="22"/>
        <v>0</v>
      </c>
      <c r="X81" s="144">
        <f t="shared" si="22"/>
        <v>0</v>
      </c>
      <c r="Y81" s="144">
        <f t="shared" si="22"/>
        <v>0</v>
      </c>
      <c r="Z81" s="144">
        <f t="shared" si="22"/>
        <v>0</v>
      </c>
      <c r="AA81" s="144">
        <f t="shared" si="22"/>
        <v>0</v>
      </c>
      <c r="AB81" s="144">
        <f t="shared" si="22"/>
        <v>0</v>
      </c>
      <c r="AC81" s="144">
        <f t="shared" si="22"/>
        <v>0</v>
      </c>
      <c r="AD81" s="144">
        <f t="shared" si="22"/>
        <v>0</v>
      </c>
      <c r="AE81" s="144">
        <f t="shared" si="22"/>
        <v>0</v>
      </c>
      <c r="AF81" s="163"/>
      <c r="AH81" s="147"/>
    </row>
    <row r="82" spans="1:34" s="146" customFormat="1" ht="18.75">
      <c r="A82" s="143" t="s">
        <v>25</v>
      </c>
      <c r="B82" s="144">
        <f>B16+B20+B24+B27+B30+B33+B44+B64+B36+B61+B67+B75+B78</f>
        <v>16132.4</v>
      </c>
      <c r="C82" s="144">
        <f>C16+C20+C24+C27+C30+C33+C44+C64+C36+C61+C67+C75+C78</f>
        <v>12503.695029999999</v>
      </c>
      <c r="D82" s="144">
        <f>D16+D20+D24+D27+D30+D33+D44+D64+D36+D61+D67+D75+D78</f>
        <v>12503.695029999999</v>
      </c>
      <c r="E82" s="144">
        <f>E16+E20+E24+E27+E30+E33+E44+E64+E36+E61+E67+E75+E78</f>
        <v>11403.972649999998</v>
      </c>
      <c r="F82" s="145">
        <f>E82/B82</f>
        <v>0.7068987038506359</v>
      </c>
      <c r="G82" s="145">
        <f>E82/C82</f>
        <v>0.9120482083606928</v>
      </c>
      <c r="H82" s="144">
        <f aca="true" t="shared" si="23" ref="H82:AE82">H16+H20+H24+H27+H30+H33+H44+H64+H36+H61+H67+H75+H78</f>
        <v>65.7896</v>
      </c>
      <c r="I82" s="144">
        <f t="shared" si="23"/>
        <v>0</v>
      </c>
      <c r="J82" s="144">
        <f t="shared" si="23"/>
        <v>639.1236</v>
      </c>
      <c r="K82" s="144">
        <f t="shared" si="23"/>
        <v>436.76</v>
      </c>
      <c r="L82" s="144">
        <f t="shared" si="23"/>
        <v>818.96299</v>
      </c>
      <c r="M82" s="144">
        <f t="shared" si="23"/>
        <v>797.4000000000001</v>
      </c>
      <c r="N82" s="144">
        <f t="shared" si="23"/>
        <v>1067.97094</v>
      </c>
      <c r="O82" s="144">
        <f t="shared" si="23"/>
        <v>961.54</v>
      </c>
      <c r="P82" s="144">
        <f t="shared" si="23"/>
        <v>1467.2410399999999</v>
      </c>
      <c r="Q82" s="144">
        <f t="shared" si="23"/>
        <v>1101.9199999999998</v>
      </c>
      <c r="R82" s="144">
        <f t="shared" si="23"/>
        <v>2791.6788000000006</v>
      </c>
      <c r="S82" s="144">
        <f t="shared" si="23"/>
        <v>2705.2200000000003</v>
      </c>
      <c r="T82" s="144">
        <f t="shared" si="23"/>
        <v>3007.22458</v>
      </c>
      <c r="U82" s="144">
        <f t="shared" si="23"/>
        <v>3184.50265</v>
      </c>
      <c r="V82" s="144">
        <f t="shared" si="23"/>
        <v>2645.70348</v>
      </c>
      <c r="W82" s="144">
        <f t="shared" si="23"/>
        <v>2216.63</v>
      </c>
      <c r="X82" s="144">
        <f t="shared" si="23"/>
        <v>905.83202</v>
      </c>
      <c r="Y82" s="144">
        <f t="shared" si="23"/>
        <v>0</v>
      </c>
      <c r="Z82" s="144">
        <f t="shared" si="23"/>
        <v>923.7223</v>
      </c>
      <c r="AA82" s="144">
        <f t="shared" si="23"/>
        <v>0</v>
      </c>
      <c r="AB82" s="144">
        <f t="shared" si="23"/>
        <v>752.86094</v>
      </c>
      <c r="AC82" s="144">
        <f t="shared" si="23"/>
        <v>0</v>
      </c>
      <c r="AD82" s="144">
        <f t="shared" si="23"/>
        <v>1046.28971</v>
      </c>
      <c r="AE82" s="144">
        <f t="shared" si="23"/>
        <v>0</v>
      </c>
      <c r="AF82" s="163"/>
      <c r="AH82" s="147"/>
    </row>
    <row r="83" spans="1:34" s="18" customFormat="1" ht="18.75">
      <c r="A83" s="58"/>
      <c r="B83" s="58"/>
      <c r="C83" s="59"/>
      <c r="D83" s="59"/>
      <c r="E83" s="60"/>
      <c r="F83" s="60"/>
      <c r="G83" s="60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2"/>
      <c r="AH83" s="98"/>
    </row>
    <row r="84" spans="1:34" s="18" customFormat="1" ht="18.75">
      <c r="A84" s="58"/>
      <c r="B84" s="58"/>
      <c r="E84" s="60"/>
      <c r="F84" s="60"/>
      <c r="G84" s="60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59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2"/>
      <c r="AH84" s="98"/>
    </row>
    <row r="85" spans="2:30" ht="15.75" customHeight="1">
      <c r="B85" s="54"/>
      <c r="E85" s="53"/>
      <c r="F85" s="57"/>
      <c r="G85" s="57"/>
      <c r="H85" s="106"/>
      <c r="I85" s="107"/>
      <c r="M85" s="17"/>
      <c r="N85" s="17"/>
      <c r="U85" s="53" t="s">
        <v>138</v>
      </c>
      <c r="AA85" s="66"/>
      <c r="AB85" s="66"/>
      <c r="AD85" s="53" t="s">
        <v>175</v>
      </c>
    </row>
    <row r="86" spans="1:43" ht="15.75" customHeight="1">
      <c r="A86" s="53"/>
      <c r="B86" s="54"/>
      <c r="E86" s="53"/>
      <c r="F86" s="57"/>
      <c r="G86" s="57"/>
      <c r="H86" s="106"/>
      <c r="I86" s="107"/>
      <c r="M86" s="17"/>
      <c r="N86" s="17"/>
      <c r="R86" s="52"/>
      <c r="S86" s="7"/>
      <c r="U86" s="53"/>
      <c r="V86" s="1"/>
      <c r="W86" s="1"/>
      <c r="X86" s="1"/>
      <c r="Y86" s="1"/>
      <c r="AA86" s="1"/>
      <c r="AB86" s="1"/>
      <c r="AD86" s="53"/>
      <c r="AE86" s="1"/>
      <c r="AF86" s="7"/>
      <c r="AG86" s="7"/>
      <c r="AH86" s="101"/>
      <c r="AI86" s="7"/>
      <c r="AJ86" s="7"/>
      <c r="AK86" s="7"/>
      <c r="AL86" s="7"/>
      <c r="AM86" s="7"/>
      <c r="AN86" s="7"/>
      <c r="AO86" s="7"/>
      <c r="AP86" s="7"/>
      <c r="AQ86" s="6"/>
    </row>
    <row r="87" spans="1:29" ht="15.75" customHeight="1">
      <c r="A87" s="24"/>
      <c r="B87" s="24"/>
      <c r="E87" s="24"/>
      <c r="F87" s="24"/>
      <c r="G87" s="24"/>
      <c r="H87" s="24"/>
      <c r="I87" s="24"/>
      <c r="J87" s="102"/>
      <c r="R87" s="52"/>
      <c r="U87" s="24"/>
      <c r="AC87" s="1"/>
    </row>
    <row r="88" ht="15.75" customHeight="1"/>
    <row r="89" spans="2:25" ht="15.75" customHeight="1">
      <c r="B89" s="63"/>
      <c r="E89" s="63"/>
      <c r="F89" s="1"/>
      <c r="G89" s="63"/>
      <c r="H89" s="63"/>
      <c r="U89" s="63" t="s">
        <v>149</v>
      </c>
      <c r="Y89" s="63" t="s">
        <v>170</v>
      </c>
    </row>
    <row r="90" ht="15.75" customHeight="1"/>
    <row r="91" ht="15.75" customHeight="1"/>
    <row r="92" ht="15.75" customHeight="1"/>
    <row r="93" ht="15.75" customHeight="1"/>
    <row r="94" ht="15.75" customHeight="1"/>
    <row r="95" spans="6:7" ht="15.75" customHeight="1">
      <c r="F95" s="1"/>
      <c r="G95" s="1"/>
    </row>
    <row r="96" ht="15.75" customHeight="1"/>
  </sheetData>
  <sheetProtection/>
  <mergeCells count="27">
    <mergeCell ref="AF21:AF24"/>
    <mergeCell ref="AF25:AF27"/>
    <mergeCell ref="AF30:AF31"/>
    <mergeCell ref="AF33:AF34"/>
    <mergeCell ref="AF42:AF44"/>
    <mergeCell ref="Z5:AA5"/>
    <mergeCell ref="AB5:AC5"/>
    <mergeCell ref="AD5:AE5"/>
    <mergeCell ref="AF5:AF6"/>
    <mergeCell ref="AF13:AF16"/>
    <mergeCell ref="AF17:AF20"/>
    <mergeCell ref="L5:M5"/>
    <mergeCell ref="N5:O5"/>
    <mergeCell ref="P5:Q5"/>
    <mergeCell ref="R5:S5"/>
    <mergeCell ref="V5:W5"/>
    <mergeCell ref="X5:Y5"/>
    <mergeCell ref="O2:S2"/>
    <mergeCell ref="O3:S3"/>
    <mergeCell ref="A5:A6"/>
    <mergeCell ref="B5:B6"/>
    <mergeCell ref="C5:C6"/>
    <mergeCell ref="D5:D6"/>
    <mergeCell ref="E5:E6"/>
    <mergeCell ref="F5:G5"/>
    <mergeCell ref="H5:I5"/>
    <mergeCell ref="J5:K5"/>
  </mergeCells>
  <printOptions horizontalCentered="1"/>
  <pageMargins left="0" right="0" top="0.1968503937007874" bottom="0.1968503937007874" header="0" footer="0"/>
  <pageSetup fitToWidth="0" horizontalDpi="600" verticalDpi="600" orientation="landscape" paperSize="9" scale="40" r:id="rId3"/>
  <rowBreaks count="2" manualBreakCount="2">
    <brk id="41" max="31" man="1"/>
    <brk id="89" max="30" man="1"/>
  </rowBreaks>
  <colBreaks count="1" manualBreakCount="1">
    <brk id="19" max="88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V67"/>
  <sheetViews>
    <sheetView zoomScalePageLayoutView="0" workbookViewId="0" topLeftCell="A1">
      <selection activeCell="O23" sqref="O23"/>
    </sheetView>
  </sheetViews>
  <sheetFormatPr defaultColWidth="9.140625" defaultRowHeight="12.75"/>
  <cols>
    <col min="1" max="1" width="0.42578125" style="39" customWidth="1"/>
    <col min="2" max="2" width="3.7109375" style="39" customWidth="1"/>
    <col min="3" max="3" width="73.28125" style="39" customWidth="1"/>
    <col min="4" max="4" width="28.421875" style="39" customWidth="1"/>
    <col min="5" max="5" width="10.421875" style="39" customWidth="1"/>
    <col min="6" max="6" width="10.28125" style="39" customWidth="1"/>
    <col min="7" max="9" width="10.7109375" style="39" customWidth="1"/>
    <col min="10" max="10" width="23.421875" style="39" customWidth="1"/>
    <col min="11" max="16384" width="9.140625" style="39" customWidth="1"/>
  </cols>
  <sheetData>
    <row r="1" s="25" customFormat="1" ht="15">
      <c r="J1" s="31" t="s">
        <v>37</v>
      </c>
    </row>
    <row r="2" s="25" customFormat="1" ht="15">
      <c r="J2" s="31" t="s">
        <v>38</v>
      </c>
    </row>
    <row r="3" s="25" customFormat="1" ht="15">
      <c r="J3" s="31" t="s">
        <v>39</v>
      </c>
    </row>
    <row r="4" s="25" customFormat="1" ht="15.75">
      <c r="J4" s="32"/>
    </row>
    <row r="5" s="25" customFormat="1" ht="15.75">
      <c r="J5" s="32"/>
    </row>
    <row r="6" spans="2:10" s="25" customFormat="1" ht="16.5">
      <c r="B6" s="165" t="s">
        <v>40</v>
      </c>
      <c r="C6" s="165"/>
      <c r="D6" s="165"/>
      <c r="E6" s="165"/>
      <c r="F6" s="165"/>
      <c r="G6" s="165"/>
      <c r="H6" s="165"/>
      <c r="I6" s="165"/>
      <c r="J6" s="165"/>
    </row>
    <row r="7" s="25" customFormat="1" ht="12.75"/>
    <row r="8" spans="2:10" s="25" customFormat="1" ht="12.75">
      <c r="B8" s="196" t="s">
        <v>41</v>
      </c>
      <c r="C8" s="196" t="s">
        <v>5</v>
      </c>
      <c r="D8" s="196" t="s">
        <v>42</v>
      </c>
      <c r="E8" s="196" t="s">
        <v>43</v>
      </c>
      <c r="F8" s="196" t="s">
        <v>44</v>
      </c>
      <c r="G8" s="196"/>
      <c r="H8" s="196"/>
      <c r="I8" s="196"/>
      <c r="J8" s="196" t="s">
        <v>45</v>
      </c>
    </row>
    <row r="9" spans="2:10" s="25" customFormat="1" ht="12.75">
      <c r="B9" s="196"/>
      <c r="C9" s="196"/>
      <c r="D9" s="196"/>
      <c r="E9" s="196"/>
      <c r="F9" s="196" t="s">
        <v>46</v>
      </c>
      <c r="G9" s="196" t="s">
        <v>47</v>
      </c>
      <c r="H9" s="196"/>
      <c r="I9" s="196"/>
      <c r="J9" s="196"/>
    </row>
    <row r="10" spans="2:10" s="25" customFormat="1" ht="15.75" customHeight="1">
      <c r="B10" s="196"/>
      <c r="C10" s="196"/>
      <c r="D10" s="196"/>
      <c r="E10" s="196"/>
      <c r="F10" s="196"/>
      <c r="G10" s="33" t="s">
        <v>48</v>
      </c>
      <c r="H10" s="33" t="s">
        <v>49</v>
      </c>
      <c r="I10" s="33" t="s">
        <v>50</v>
      </c>
      <c r="J10" s="196"/>
    </row>
    <row r="11" spans="2:10" s="25" customFormat="1" ht="12.75">
      <c r="B11" s="33">
        <v>1</v>
      </c>
      <c r="C11" s="33">
        <v>2</v>
      </c>
      <c r="D11" s="33">
        <v>3</v>
      </c>
      <c r="E11" s="33">
        <v>4</v>
      </c>
      <c r="F11" s="33">
        <v>5</v>
      </c>
      <c r="G11" s="33">
        <v>6</v>
      </c>
      <c r="H11" s="33">
        <v>7</v>
      </c>
      <c r="I11" s="33">
        <v>8</v>
      </c>
      <c r="J11" s="33">
        <v>9</v>
      </c>
    </row>
    <row r="12" spans="2:10" s="25" customFormat="1" ht="21.75" customHeight="1">
      <c r="B12" s="194" t="s">
        <v>51</v>
      </c>
      <c r="C12" s="194"/>
      <c r="D12" s="194"/>
      <c r="E12" s="194"/>
      <c r="F12" s="194"/>
      <c r="G12" s="194"/>
      <c r="H12" s="194"/>
      <c r="I12" s="194"/>
      <c r="J12" s="194"/>
    </row>
    <row r="13" spans="2:10" s="25" customFormat="1" ht="24.75" customHeight="1">
      <c r="B13" s="194" t="s">
        <v>52</v>
      </c>
      <c r="C13" s="194"/>
      <c r="D13" s="194"/>
      <c r="E13" s="194"/>
      <c r="F13" s="194"/>
      <c r="G13" s="194"/>
      <c r="H13" s="194"/>
      <c r="I13" s="194"/>
      <c r="J13" s="194"/>
    </row>
    <row r="14" spans="2:10" s="25" customFormat="1" ht="25.5" customHeight="1">
      <c r="B14" s="197" t="s">
        <v>53</v>
      </c>
      <c r="C14" s="198"/>
      <c r="D14" s="198"/>
      <c r="E14" s="198"/>
      <c r="F14" s="198"/>
      <c r="G14" s="198"/>
      <c r="H14" s="198"/>
      <c r="I14" s="198"/>
      <c r="J14" s="199"/>
    </row>
    <row r="15" spans="2:13" s="25" customFormat="1" ht="12.75">
      <c r="B15" s="203" t="s">
        <v>54</v>
      </c>
      <c r="C15" s="187" t="s">
        <v>55</v>
      </c>
      <c r="D15" s="190" t="s">
        <v>56</v>
      </c>
      <c r="E15" s="190" t="s">
        <v>57</v>
      </c>
      <c r="F15" s="35">
        <f>F16+F17</f>
        <v>23731.8</v>
      </c>
      <c r="G15" s="35">
        <f>G16+G17</f>
        <v>7910.6</v>
      </c>
      <c r="H15" s="35">
        <f>H16+H17</f>
        <v>7910.6</v>
      </c>
      <c r="I15" s="35">
        <f>I16+I17</f>
        <v>7910.6</v>
      </c>
      <c r="J15" s="33" t="s">
        <v>32</v>
      </c>
      <c r="M15" s="36"/>
    </row>
    <row r="16" spans="2:13" s="25" customFormat="1" ht="38.25">
      <c r="B16" s="204"/>
      <c r="C16" s="188"/>
      <c r="D16" s="191"/>
      <c r="E16" s="191"/>
      <c r="F16" s="35">
        <f>G16+H16+I16</f>
        <v>23002.7</v>
      </c>
      <c r="G16" s="35">
        <f>7910.6-729.1</f>
        <v>7181.5</v>
      </c>
      <c r="H16" s="35">
        <v>7910.6</v>
      </c>
      <c r="I16" s="35">
        <v>7910.6</v>
      </c>
      <c r="J16" s="33" t="s">
        <v>58</v>
      </c>
      <c r="M16" s="36"/>
    </row>
    <row r="17" spans="2:13" s="25" customFormat="1" ht="25.5">
      <c r="B17" s="205"/>
      <c r="C17" s="189"/>
      <c r="D17" s="192"/>
      <c r="E17" s="192"/>
      <c r="F17" s="35">
        <f>G17+H17+I17</f>
        <v>729.1</v>
      </c>
      <c r="G17" s="35">
        <v>729.1</v>
      </c>
      <c r="H17" s="35">
        <v>0</v>
      </c>
      <c r="I17" s="35">
        <v>0</v>
      </c>
      <c r="J17" s="33" t="s">
        <v>59</v>
      </c>
      <c r="M17" s="36"/>
    </row>
    <row r="18" spans="2:13" s="25" customFormat="1" ht="42.75" customHeight="1">
      <c r="B18" s="37" t="s">
        <v>60</v>
      </c>
      <c r="C18" s="34" t="s">
        <v>61</v>
      </c>
      <c r="D18" s="33" t="s">
        <v>56</v>
      </c>
      <c r="E18" s="33" t="s">
        <v>57</v>
      </c>
      <c r="F18" s="35">
        <f aca="true" t="shared" si="0" ref="F18:F24">G18+H18+I18</f>
        <v>769.8000000000001</v>
      </c>
      <c r="G18" s="35">
        <v>256.6</v>
      </c>
      <c r="H18" s="35">
        <v>256.6</v>
      </c>
      <c r="I18" s="35">
        <v>256.6</v>
      </c>
      <c r="J18" s="33" t="s">
        <v>58</v>
      </c>
      <c r="M18" s="36"/>
    </row>
    <row r="19" spans="2:13" s="25" customFormat="1" ht="12.75">
      <c r="B19" s="203" t="s">
        <v>62</v>
      </c>
      <c r="C19" s="187" t="s">
        <v>63</v>
      </c>
      <c r="D19" s="190" t="s">
        <v>56</v>
      </c>
      <c r="E19" s="190" t="s">
        <v>57</v>
      </c>
      <c r="F19" s="35">
        <f>G19+H19+I19</f>
        <v>2191.2</v>
      </c>
      <c r="G19" s="35">
        <f>G20+G21</f>
        <v>792</v>
      </c>
      <c r="H19" s="35">
        <f>H20+H21</f>
        <v>699.6</v>
      </c>
      <c r="I19" s="35">
        <f>I20+I21</f>
        <v>699.6</v>
      </c>
      <c r="J19" s="33" t="s">
        <v>32</v>
      </c>
      <c r="M19" s="36"/>
    </row>
    <row r="20" spans="2:13" s="25" customFormat="1" ht="38.25">
      <c r="B20" s="204"/>
      <c r="C20" s="188"/>
      <c r="D20" s="191"/>
      <c r="E20" s="191"/>
      <c r="F20" s="35">
        <f>G20+H20+I20</f>
        <v>1565</v>
      </c>
      <c r="G20" s="35">
        <f>699.6-G21+92.4</f>
        <v>165.79999999999998</v>
      </c>
      <c r="H20" s="35">
        <v>699.6</v>
      </c>
      <c r="I20" s="35">
        <v>699.6</v>
      </c>
      <c r="J20" s="33" t="s">
        <v>58</v>
      </c>
      <c r="K20" s="36"/>
      <c r="M20" s="36"/>
    </row>
    <row r="21" spans="2:13" s="25" customFormat="1" ht="63.75">
      <c r="B21" s="205"/>
      <c r="C21" s="189"/>
      <c r="D21" s="192"/>
      <c r="E21" s="192"/>
      <c r="F21" s="35">
        <f>G21+H21+I21</f>
        <v>626.2</v>
      </c>
      <c r="G21" s="35">
        <v>626.2</v>
      </c>
      <c r="H21" s="35">
        <v>0</v>
      </c>
      <c r="I21" s="35">
        <v>0</v>
      </c>
      <c r="J21" s="33" t="s">
        <v>64</v>
      </c>
      <c r="M21" s="36"/>
    </row>
    <row r="22" spans="2:13" s="25" customFormat="1" ht="42.75" customHeight="1">
      <c r="B22" s="37" t="s">
        <v>65</v>
      </c>
      <c r="C22" s="34" t="s">
        <v>66</v>
      </c>
      <c r="D22" s="33" t="s">
        <v>56</v>
      </c>
      <c r="E22" s="33" t="s">
        <v>57</v>
      </c>
      <c r="F22" s="35">
        <f t="shared" si="0"/>
        <v>948.9</v>
      </c>
      <c r="G22" s="35">
        <v>505.1</v>
      </c>
      <c r="H22" s="35">
        <v>221.9</v>
      </c>
      <c r="I22" s="35">
        <v>221.9</v>
      </c>
      <c r="J22" s="33" t="s">
        <v>58</v>
      </c>
      <c r="M22" s="36"/>
    </row>
    <row r="23" spans="2:13" s="25" customFormat="1" ht="42.75" customHeight="1">
      <c r="B23" s="37" t="s">
        <v>67</v>
      </c>
      <c r="C23" s="34" t="s">
        <v>68</v>
      </c>
      <c r="D23" s="33" t="s">
        <v>56</v>
      </c>
      <c r="E23" s="33" t="s">
        <v>57</v>
      </c>
      <c r="F23" s="35">
        <f t="shared" si="0"/>
        <v>3162.2999999999997</v>
      </c>
      <c r="G23" s="35">
        <v>1054.1</v>
      </c>
      <c r="H23" s="35">
        <v>1054.1</v>
      </c>
      <c r="I23" s="35">
        <v>1054.1</v>
      </c>
      <c r="J23" s="33" t="s">
        <v>58</v>
      </c>
      <c r="M23" s="36"/>
    </row>
    <row r="24" spans="2:13" s="25" customFormat="1" ht="42.75" customHeight="1">
      <c r="B24" s="37" t="s">
        <v>69</v>
      </c>
      <c r="C24" s="34" t="s">
        <v>70</v>
      </c>
      <c r="D24" s="33" t="s">
        <v>56</v>
      </c>
      <c r="E24" s="33" t="s">
        <v>57</v>
      </c>
      <c r="F24" s="35">
        <f t="shared" si="0"/>
        <v>105</v>
      </c>
      <c r="G24" s="35">
        <v>35</v>
      </c>
      <c r="H24" s="35">
        <v>35</v>
      </c>
      <c r="I24" s="35">
        <v>35</v>
      </c>
      <c r="J24" s="33" t="s">
        <v>58</v>
      </c>
      <c r="M24" s="36"/>
    </row>
    <row r="25" spans="2:13" s="25" customFormat="1" ht="42.75" customHeight="1">
      <c r="B25" s="37" t="s">
        <v>71</v>
      </c>
      <c r="C25" s="34" t="s">
        <v>72</v>
      </c>
      <c r="D25" s="33" t="s">
        <v>56</v>
      </c>
      <c r="E25" s="33" t="s">
        <v>57</v>
      </c>
      <c r="F25" s="196" t="s">
        <v>73</v>
      </c>
      <c r="G25" s="196"/>
      <c r="H25" s="196"/>
      <c r="I25" s="196"/>
      <c r="J25" s="196"/>
      <c r="M25" s="36"/>
    </row>
    <row r="26" spans="2:13" s="25" customFormat="1" ht="18.75" customHeight="1">
      <c r="B26" s="190"/>
      <c r="C26" s="187" t="s">
        <v>74</v>
      </c>
      <c r="D26" s="190" t="s">
        <v>56</v>
      </c>
      <c r="E26" s="190" t="s">
        <v>57</v>
      </c>
      <c r="F26" s="35">
        <f>G26+H26+I26</f>
        <v>30909.000000000007</v>
      </c>
      <c r="G26" s="35">
        <f>G27+G28</f>
        <v>10553.400000000001</v>
      </c>
      <c r="H26" s="35">
        <f>H27+H28</f>
        <v>10177.800000000001</v>
      </c>
      <c r="I26" s="35">
        <f>I27+I28</f>
        <v>10177.800000000001</v>
      </c>
      <c r="J26" s="33" t="s">
        <v>32</v>
      </c>
      <c r="L26" s="38"/>
      <c r="M26" s="36"/>
    </row>
    <row r="27" spans="2:13" s="25" customFormat="1" ht="42" customHeight="1">
      <c r="B27" s="191"/>
      <c r="C27" s="188"/>
      <c r="D27" s="191"/>
      <c r="E27" s="191"/>
      <c r="F27" s="35">
        <f>G27+H27+I27</f>
        <v>29553.700000000004</v>
      </c>
      <c r="G27" s="35">
        <f>G16+G18+G20+G22+G23+G24</f>
        <v>9198.1</v>
      </c>
      <c r="H27" s="35">
        <f>H16+H18+H20+H22+H23+H24</f>
        <v>10177.800000000001</v>
      </c>
      <c r="I27" s="35">
        <f>I16+I18+I20+I22+I23+I24</f>
        <v>10177.800000000001</v>
      </c>
      <c r="J27" s="33" t="s">
        <v>58</v>
      </c>
      <c r="L27" s="38"/>
      <c r="M27" s="36"/>
    </row>
    <row r="28" spans="2:13" s="25" customFormat="1" ht="25.5">
      <c r="B28" s="192"/>
      <c r="C28" s="189"/>
      <c r="D28" s="192"/>
      <c r="E28" s="192"/>
      <c r="F28" s="35">
        <f>G28+H28+I28</f>
        <v>1355.3000000000002</v>
      </c>
      <c r="G28" s="35">
        <f>G17+G21</f>
        <v>1355.3000000000002</v>
      </c>
      <c r="H28" s="35">
        <f>H17+H21</f>
        <v>0</v>
      </c>
      <c r="I28" s="35">
        <f>I17+I21</f>
        <v>0</v>
      </c>
      <c r="J28" s="33" t="s">
        <v>59</v>
      </c>
      <c r="L28" s="38"/>
      <c r="M28" s="36"/>
    </row>
    <row r="29" spans="2:13" ht="26.25" customHeight="1">
      <c r="B29" s="194" t="s">
        <v>75</v>
      </c>
      <c r="C29" s="194"/>
      <c r="D29" s="194"/>
      <c r="E29" s="194"/>
      <c r="F29" s="194"/>
      <c r="G29" s="194"/>
      <c r="H29" s="194"/>
      <c r="I29" s="194"/>
      <c r="J29" s="194"/>
      <c r="M29" s="36"/>
    </row>
    <row r="30" spans="2:13" ht="49.5" customHeight="1">
      <c r="B30" s="37" t="s">
        <v>76</v>
      </c>
      <c r="C30" s="34" t="s">
        <v>77</v>
      </c>
      <c r="D30" s="33" t="s">
        <v>78</v>
      </c>
      <c r="E30" s="33" t="s">
        <v>57</v>
      </c>
      <c r="F30" s="35">
        <f>G30+H30+I30</f>
        <v>25572.899999999998</v>
      </c>
      <c r="G30" s="35">
        <v>8524.3</v>
      </c>
      <c r="H30" s="35">
        <v>8524.3</v>
      </c>
      <c r="I30" s="35">
        <v>8524.3</v>
      </c>
      <c r="J30" s="33" t="s">
        <v>58</v>
      </c>
      <c r="M30" s="36"/>
    </row>
    <row r="31" spans="2:13" ht="49.5" customHeight="1">
      <c r="B31" s="33"/>
      <c r="C31" s="34" t="s">
        <v>79</v>
      </c>
      <c r="D31" s="33" t="s">
        <v>78</v>
      </c>
      <c r="E31" s="33"/>
      <c r="F31" s="35">
        <f>G31+H31+I31</f>
        <v>25572.899999999998</v>
      </c>
      <c r="G31" s="35">
        <f>G30</f>
        <v>8524.3</v>
      </c>
      <c r="H31" s="35">
        <f>H30</f>
        <v>8524.3</v>
      </c>
      <c r="I31" s="35">
        <f>I30</f>
        <v>8524.3</v>
      </c>
      <c r="J31" s="33" t="s">
        <v>58</v>
      </c>
      <c r="M31" s="36"/>
    </row>
    <row r="32" spans="2:13" ht="12.75" customHeight="1">
      <c r="B32" s="200"/>
      <c r="C32" s="187" t="s">
        <v>80</v>
      </c>
      <c r="D32" s="184"/>
      <c r="E32" s="190" t="s">
        <v>57</v>
      </c>
      <c r="F32" s="35">
        <f>G32+H32+I32</f>
        <v>56481.9</v>
      </c>
      <c r="G32" s="35">
        <f>G33+G34</f>
        <v>19077.7</v>
      </c>
      <c r="H32" s="35">
        <f>H33+H34</f>
        <v>18702.1</v>
      </c>
      <c r="I32" s="35">
        <f>I33+I34</f>
        <v>18702.1</v>
      </c>
      <c r="J32" s="33" t="s">
        <v>32</v>
      </c>
      <c r="L32" s="40"/>
      <c r="M32" s="36"/>
    </row>
    <row r="33" spans="2:13" ht="38.25" customHeight="1">
      <c r="B33" s="201"/>
      <c r="C33" s="188"/>
      <c r="D33" s="185"/>
      <c r="E33" s="191"/>
      <c r="F33" s="35">
        <f>G33+H33+I33</f>
        <v>55126.6</v>
      </c>
      <c r="G33" s="35">
        <f>G31+G27</f>
        <v>17722.4</v>
      </c>
      <c r="H33" s="35">
        <f>H31+H27</f>
        <v>18702.1</v>
      </c>
      <c r="I33" s="35">
        <f>I31+I27</f>
        <v>18702.1</v>
      </c>
      <c r="J33" s="33" t="s">
        <v>58</v>
      </c>
      <c r="L33" s="40"/>
      <c r="M33" s="36"/>
    </row>
    <row r="34" spans="2:13" ht="26.25" customHeight="1">
      <c r="B34" s="202"/>
      <c r="C34" s="189"/>
      <c r="D34" s="186"/>
      <c r="E34" s="192"/>
      <c r="F34" s="35">
        <f>G34+H34+I34</f>
        <v>1355.3000000000002</v>
      </c>
      <c r="G34" s="35">
        <f>G28</f>
        <v>1355.3000000000002</v>
      </c>
      <c r="H34" s="35">
        <f>H28</f>
        <v>0</v>
      </c>
      <c r="I34" s="35">
        <f>I28</f>
        <v>0</v>
      </c>
      <c r="J34" s="33" t="s">
        <v>59</v>
      </c>
      <c r="L34" s="40"/>
      <c r="M34" s="36"/>
    </row>
    <row r="35" spans="2:13" ht="24.75" customHeight="1">
      <c r="B35" s="197" t="s">
        <v>81</v>
      </c>
      <c r="C35" s="198"/>
      <c r="D35" s="198"/>
      <c r="E35" s="198"/>
      <c r="F35" s="198"/>
      <c r="G35" s="198"/>
      <c r="H35" s="198"/>
      <c r="I35" s="198"/>
      <c r="J35" s="199"/>
      <c r="M35" s="36"/>
    </row>
    <row r="36" spans="2:13" ht="27" customHeight="1">
      <c r="B36" s="197" t="s">
        <v>82</v>
      </c>
      <c r="C36" s="198"/>
      <c r="D36" s="198"/>
      <c r="E36" s="198"/>
      <c r="F36" s="198"/>
      <c r="G36" s="198"/>
      <c r="H36" s="198"/>
      <c r="I36" s="198"/>
      <c r="J36" s="199"/>
      <c r="M36" s="36"/>
    </row>
    <row r="37" spans="2:13" ht="25.5" customHeight="1">
      <c r="B37" s="33" t="s">
        <v>83</v>
      </c>
      <c r="C37" s="34" t="s">
        <v>84</v>
      </c>
      <c r="D37" s="33" t="s">
        <v>85</v>
      </c>
      <c r="E37" s="33" t="s">
        <v>57</v>
      </c>
      <c r="F37" s="35">
        <f>G37+H37+I37</f>
        <v>50</v>
      </c>
      <c r="G37" s="35">
        <v>50</v>
      </c>
      <c r="H37" s="35">
        <v>0</v>
      </c>
      <c r="I37" s="35">
        <v>0</v>
      </c>
      <c r="J37" s="33" t="s">
        <v>59</v>
      </c>
      <c r="M37" s="36"/>
    </row>
    <row r="38" spans="2:13" ht="26.25" customHeight="1">
      <c r="B38" s="41"/>
      <c r="C38" s="34" t="s">
        <v>86</v>
      </c>
      <c r="D38" s="33" t="s">
        <v>85</v>
      </c>
      <c r="E38" s="33" t="s">
        <v>57</v>
      </c>
      <c r="F38" s="35">
        <f aca="true" t="shared" si="1" ref="F38:I39">F37</f>
        <v>50</v>
      </c>
      <c r="G38" s="35">
        <f t="shared" si="1"/>
        <v>50</v>
      </c>
      <c r="H38" s="35">
        <f t="shared" si="1"/>
        <v>0</v>
      </c>
      <c r="I38" s="35">
        <f t="shared" si="1"/>
        <v>0</v>
      </c>
      <c r="J38" s="33" t="s">
        <v>59</v>
      </c>
      <c r="M38" s="36"/>
    </row>
    <row r="39" spans="2:13" ht="27" customHeight="1">
      <c r="B39" s="41"/>
      <c r="C39" s="34" t="s">
        <v>87</v>
      </c>
      <c r="D39" s="33" t="s">
        <v>85</v>
      </c>
      <c r="E39" s="33" t="s">
        <v>57</v>
      </c>
      <c r="F39" s="35">
        <f t="shared" si="1"/>
        <v>50</v>
      </c>
      <c r="G39" s="35">
        <f t="shared" si="1"/>
        <v>50</v>
      </c>
      <c r="H39" s="35">
        <f t="shared" si="1"/>
        <v>0</v>
      </c>
      <c r="I39" s="35">
        <f t="shared" si="1"/>
        <v>0</v>
      </c>
      <c r="J39" s="33" t="s">
        <v>59</v>
      </c>
      <c r="M39" s="36"/>
    </row>
    <row r="40" spans="2:13" ht="27" customHeight="1">
      <c r="B40" s="197" t="s">
        <v>88</v>
      </c>
      <c r="C40" s="198"/>
      <c r="D40" s="198"/>
      <c r="E40" s="198"/>
      <c r="F40" s="198"/>
      <c r="G40" s="198"/>
      <c r="H40" s="198"/>
      <c r="I40" s="198"/>
      <c r="J40" s="199"/>
      <c r="M40" s="36"/>
    </row>
    <row r="41" spans="2:13" ht="26.25" customHeight="1">
      <c r="B41" s="197" t="s">
        <v>89</v>
      </c>
      <c r="C41" s="198"/>
      <c r="D41" s="198"/>
      <c r="E41" s="198"/>
      <c r="F41" s="198"/>
      <c r="G41" s="198"/>
      <c r="H41" s="198"/>
      <c r="I41" s="198"/>
      <c r="J41" s="199"/>
      <c r="M41" s="36"/>
    </row>
    <row r="42" spans="2:13" ht="27.75" customHeight="1">
      <c r="B42" s="194" t="s">
        <v>90</v>
      </c>
      <c r="C42" s="194"/>
      <c r="D42" s="194"/>
      <c r="E42" s="194"/>
      <c r="F42" s="194"/>
      <c r="G42" s="194"/>
      <c r="H42" s="194"/>
      <c r="I42" s="194"/>
      <c r="J42" s="194"/>
      <c r="M42" s="36"/>
    </row>
    <row r="43" spans="2:13" ht="38.25">
      <c r="B43" s="37" t="s">
        <v>91</v>
      </c>
      <c r="C43" s="34" t="s">
        <v>92</v>
      </c>
      <c r="D43" s="33" t="s">
        <v>93</v>
      </c>
      <c r="E43" s="33" t="s">
        <v>57</v>
      </c>
      <c r="F43" s="196" t="s">
        <v>73</v>
      </c>
      <c r="G43" s="196"/>
      <c r="H43" s="196"/>
      <c r="I43" s="196"/>
      <c r="J43" s="196"/>
      <c r="M43" s="36"/>
    </row>
    <row r="44" spans="2:13" ht="38.25">
      <c r="B44" s="37" t="s">
        <v>94</v>
      </c>
      <c r="C44" s="34" t="s">
        <v>95</v>
      </c>
      <c r="D44" s="33" t="s">
        <v>93</v>
      </c>
      <c r="E44" s="33" t="s">
        <v>57</v>
      </c>
      <c r="F44" s="35">
        <f>G44+H44+I44</f>
        <v>20</v>
      </c>
      <c r="G44" s="35">
        <v>10</v>
      </c>
      <c r="H44" s="35">
        <v>0</v>
      </c>
      <c r="I44" s="35">
        <v>10</v>
      </c>
      <c r="J44" s="33" t="s">
        <v>58</v>
      </c>
      <c r="M44" s="36"/>
    </row>
    <row r="45" spans="2:13" ht="38.25">
      <c r="B45" s="37" t="s">
        <v>96</v>
      </c>
      <c r="C45" s="34" t="s">
        <v>97</v>
      </c>
      <c r="D45" s="33" t="s">
        <v>93</v>
      </c>
      <c r="E45" s="33" t="s">
        <v>57</v>
      </c>
      <c r="F45" s="35">
        <f>G45+H45+I45</f>
        <v>40</v>
      </c>
      <c r="G45" s="35">
        <v>0</v>
      </c>
      <c r="H45" s="35">
        <v>40</v>
      </c>
      <c r="I45" s="35">
        <v>0</v>
      </c>
      <c r="J45" s="33" t="s">
        <v>98</v>
      </c>
      <c r="M45" s="36"/>
    </row>
    <row r="46" spans="2:13" ht="51">
      <c r="B46" s="37" t="s">
        <v>99</v>
      </c>
      <c r="C46" s="34" t="s">
        <v>100</v>
      </c>
      <c r="D46" s="33" t="s">
        <v>93</v>
      </c>
      <c r="E46" s="33" t="s">
        <v>57</v>
      </c>
      <c r="F46" s="35">
        <f>G46+H46+I46</f>
        <v>8908.5</v>
      </c>
      <c r="G46" s="35">
        <v>2969.5</v>
      </c>
      <c r="H46" s="35">
        <v>2969.5</v>
      </c>
      <c r="I46" s="35">
        <v>2969.5</v>
      </c>
      <c r="J46" s="33" t="s">
        <v>101</v>
      </c>
      <c r="M46" s="36"/>
    </row>
    <row r="47" spans="2:13" ht="12.75">
      <c r="B47" s="196"/>
      <c r="C47" s="187" t="s">
        <v>102</v>
      </c>
      <c r="D47" s="196" t="s">
        <v>93</v>
      </c>
      <c r="E47" s="196" t="s">
        <v>57</v>
      </c>
      <c r="F47" s="35">
        <f>F46+F45+F44</f>
        <v>8968.5</v>
      </c>
      <c r="G47" s="35">
        <f>G46+G45+G44</f>
        <v>2979.5</v>
      </c>
      <c r="H47" s="35">
        <f>H46+H45+H44</f>
        <v>3009.5</v>
      </c>
      <c r="I47" s="35">
        <f>I46+I45+I44</f>
        <v>2979.5</v>
      </c>
      <c r="J47" s="33" t="s">
        <v>32</v>
      </c>
      <c r="L47" s="40"/>
      <c r="M47" s="36"/>
    </row>
    <row r="48" spans="2:13" ht="38.25">
      <c r="B48" s="196"/>
      <c r="C48" s="188"/>
      <c r="D48" s="196"/>
      <c r="E48" s="196"/>
      <c r="F48" s="35">
        <f>F44+F45</f>
        <v>60</v>
      </c>
      <c r="G48" s="35">
        <f>G44+G45</f>
        <v>10</v>
      </c>
      <c r="H48" s="35">
        <f>H44+H45</f>
        <v>40</v>
      </c>
      <c r="I48" s="35">
        <f>I44+I45</f>
        <v>10</v>
      </c>
      <c r="J48" s="33" t="s">
        <v>58</v>
      </c>
      <c r="L48" s="40"/>
      <c r="M48" s="36"/>
    </row>
    <row r="49" spans="2:13" ht="25.5">
      <c r="B49" s="196"/>
      <c r="C49" s="189"/>
      <c r="D49" s="196"/>
      <c r="E49" s="196"/>
      <c r="F49" s="35">
        <f>F46</f>
        <v>8908.5</v>
      </c>
      <c r="G49" s="35">
        <f>G46</f>
        <v>2969.5</v>
      </c>
      <c r="H49" s="35">
        <f>H46</f>
        <v>2969.5</v>
      </c>
      <c r="I49" s="35">
        <f>I46</f>
        <v>2969.5</v>
      </c>
      <c r="J49" s="33" t="s">
        <v>101</v>
      </c>
      <c r="L49" s="40"/>
      <c r="M49" s="36"/>
    </row>
    <row r="50" spans="2:13" ht="28.5" customHeight="1">
      <c r="B50" s="194" t="s">
        <v>103</v>
      </c>
      <c r="C50" s="194"/>
      <c r="D50" s="194"/>
      <c r="E50" s="194"/>
      <c r="F50" s="194"/>
      <c r="G50" s="194"/>
      <c r="H50" s="194"/>
      <c r="I50" s="194"/>
      <c r="J50" s="194"/>
      <c r="M50" s="36"/>
    </row>
    <row r="51" spans="2:13" ht="31.5" customHeight="1">
      <c r="B51" s="37" t="s">
        <v>104</v>
      </c>
      <c r="C51" s="34" t="s">
        <v>105</v>
      </c>
      <c r="D51" s="33" t="s">
        <v>93</v>
      </c>
      <c r="E51" s="33" t="s">
        <v>57</v>
      </c>
      <c r="F51" s="196" t="s">
        <v>73</v>
      </c>
      <c r="G51" s="196"/>
      <c r="H51" s="196"/>
      <c r="I51" s="196"/>
      <c r="J51" s="196"/>
      <c r="M51" s="36"/>
    </row>
    <row r="52" spans="2:13" ht="51">
      <c r="B52" s="37" t="s">
        <v>106</v>
      </c>
      <c r="C52" s="34" t="s">
        <v>107</v>
      </c>
      <c r="D52" s="33" t="s">
        <v>93</v>
      </c>
      <c r="E52" s="33" t="s">
        <v>57</v>
      </c>
      <c r="F52" s="196" t="s">
        <v>73</v>
      </c>
      <c r="G52" s="196"/>
      <c r="H52" s="196"/>
      <c r="I52" s="196"/>
      <c r="J52" s="196"/>
      <c r="M52" s="36"/>
    </row>
    <row r="53" spans="2:13" ht="15.75" customHeight="1">
      <c r="B53" s="195"/>
      <c r="C53" s="194" t="s">
        <v>108</v>
      </c>
      <c r="D53" s="196" t="s">
        <v>93</v>
      </c>
      <c r="E53" s="196" t="s">
        <v>57</v>
      </c>
      <c r="F53" s="35">
        <f>F47</f>
        <v>8968.5</v>
      </c>
      <c r="G53" s="35">
        <f>G47</f>
        <v>2979.5</v>
      </c>
      <c r="H53" s="35">
        <f>H47</f>
        <v>3009.5</v>
      </c>
      <c r="I53" s="35">
        <f>I47</f>
        <v>2979.5</v>
      </c>
      <c r="J53" s="33" t="s">
        <v>32</v>
      </c>
      <c r="M53" s="36"/>
    </row>
    <row r="54" spans="2:13" ht="42" customHeight="1">
      <c r="B54" s="195"/>
      <c r="C54" s="194"/>
      <c r="D54" s="196"/>
      <c r="E54" s="196"/>
      <c r="F54" s="35">
        <f aca="true" t="shared" si="2" ref="F54:I55">F48</f>
        <v>60</v>
      </c>
      <c r="G54" s="35">
        <f t="shared" si="2"/>
        <v>10</v>
      </c>
      <c r="H54" s="35">
        <f t="shared" si="2"/>
        <v>40</v>
      </c>
      <c r="I54" s="35">
        <f t="shared" si="2"/>
        <v>10</v>
      </c>
      <c r="J54" s="33" t="s">
        <v>58</v>
      </c>
      <c r="M54" s="36"/>
    </row>
    <row r="55" spans="2:13" ht="25.5">
      <c r="B55" s="195"/>
      <c r="C55" s="194"/>
      <c r="D55" s="196"/>
      <c r="E55" s="196"/>
      <c r="F55" s="35">
        <f t="shared" si="2"/>
        <v>8908.5</v>
      </c>
      <c r="G55" s="35">
        <f t="shared" si="2"/>
        <v>2969.5</v>
      </c>
      <c r="H55" s="35">
        <f t="shared" si="2"/>
        <v>2969.5</v>
      </c>
      <c r="I55" s="35">
        <f t="shared" si="2"/>
        <v>2969.5</v>
      </c>
      <c r="J55" s="33" t="s">
        <v>101</v>
      </c>
      <c r="M55" s="36"/>
    </row>
    <row r="56" spans="2:22" ht="34.5" customHeight="1">
      <c r="B56" s="193"/>
      <c r="C56" s="194" t="s">
        <v>109</v>
      </c>
      <c r="D56" s="195"/>
      <c r="E56" s="196" t="s">
        <v>57</v>
      </c>
      <c r="F56" s="35">
        <f>F32+F39+F53</f>
        <v>65500.4</v>
      </c>
      <c r="G56" s="35">
        <f>G32+G39+G53</f>
        <v>22107.2</v>
      </c>
      <c r="H56" s="35">
        <f>H32+H39+H53</f>
        <v>21711.6</v>
      </c>
      <c r="I56" s="35">
        <f>I32+I39+I53</f>
        <v>21681.6</v>
      </c>
      <c r="J56" s="33" t="s">
        <v>32</v>
      </c>
      <c r="S56" s="42"/>
      <c r="T56" s="42"/>
      <c r="U56" s="42"/>
      <c r="V56" s="42"/>
    </row>
    <row r="57" spans="2:22" ht="44.25" customHeight="1">
      <c r="B57" s="193"/>
      <c r="C57" s="194"/>
      <c r="D57" s="195"/>
      <c r="E57" s="196"/>
      <c r="F57" s="35">
        <f>F33+F54</f>
        <v>55186.6</v>
      </c>
      <c r="G57" s="35">
        <f>G33+G54</f>
        <v>17732.4</v>
      </c>
      <c r="H57" s="35">
        <f>H33+H54</f>
        <v>18742.1</v>
      </c>
      <c r="I57" s="35">
        <f>I33+I54</f>
        <v>18712.1</v>
      </c>
      <c r="J57" s="33" t="s">
        <v>58</v>
      </c>
      <c r="S57" s="42"/>
      <c r="T57" s="42"/>
      <c r="U57" s="42"/>
      <c r="V57" s="42"/>
    </row>
    <row r="58" spans="2:22" ht="31.5" customHeight="1">
      <c r="B58" s="193"/>
      <c r="C58" s="194"/>
      <c r="D58" s="195"/>
      <c r="E58" s="196"/>
      <c r="F58" s="35">
        <f>F34+F39+F55</f>
        <v>10313.8</v>
      </c>
      <c r="G58" s="35">
        <f>G34+G39+G55</f>
        <v>4374.8</v>
      </c>
      <c r="H58" s="35">
        <f>H34+H39+H55</f>
        <v>2969.5</v>
      </c>
      <c r="I58" s="35">
        <f>I34+I39+I55</f>
        <v>2969.5</v>
      </c>
      <c r="J58" s="33" t="s">
        <v>101</v>
      </c>
      <c r="S58" s="42"/>
      <c r="T58" s="42"/>
      <c r="U58" s="42"/>
      <c r="V58" s="42"/>
    </row>
    <row r="59" spans="2:13" ht="13.5" customHeight="1">
      <c r="B59" s="43"/>
      <c r="C59" s="34" t="s">
        <v>110</v>
      </c>
      <c r="D59" s="43"/>
      <c r="E59" s="43"/>
      <c r="F59" s="44"/>
      <c r="G59" s="44"/>
      <c r="H59" s="44"/>
      <c r="I59" s="44"/>
      <c r="J59" s="43"/>
      <c r="M59" s="36"/>
    </row>
    <row r="60" spans="2:13" ht="12.75">
      <c r="B60" s="195"/>
      <c r="C60" s="194" t="s">
        <v>111</v>
      </c>
      <c r="D60" s="195"/>
      <c r="E60" s="196" t="s">
        <v>57</v>
      </c>
      <c r="F60" s="35">
        <f>F47</f>
        <v>8968.5</v>
      </c>
      <c r="G60" s="35">
        <f>G47</f>
        <v>2979.5</v>
      </c>
      <c r="H60" s="35">
        <f>H47</f>
        <v>3009.5</v>
      </c>
      <c r="I60" s="35">
        <f>I47</f>
        <v>2979.5</v>
      </c>
      <c r="J60" s="33" t="s">
        <v>32</v>
      </c>
      <c r="M60" s="36"/>
    </row>
    <row r="61" spans="2:13" ht="38.25">
      <c r="B61" s="195"/>
      <c r="C61" s="194"/>
      <c r="D61" s="195"/>
      <c r="E61" s="196"/>
      <c r="F61" s="35">
        <f aca="true" t="shared" si="3" ref="F61:I62">F48</f>
        <v>60</v>
      </c>
      <c r="G61" s="35">
        <f t="shared" si="3"/>
        <v>10</v>
      </c>
      <c r="H61" s="35">
        <f t="shared" si="3"/>
        <v>40</v>
      </c>
      <c r="I61" s="35">
        <f t="shared" si="3"/>
        <v>10</v>
      </c>
      <c r="J61" s="33" t="s">
        <v>58</v>
      </c>
      <c r="M61" s="36"/>
    </row>
    <row r="62" spans="2:13" ht="25.5">
      <c r="B62" s="195"/>
      <c r="C62" s="194"/>
      <c r="D62" s="195"/>
      <c r="E62" s="196"/>
      <c r="F62" s="35">
        <f t="shared" si="3"/>
        <v>8908.5</v>
      </c>
      <c r="G62" s="35">
        <f t="shared" si="3"/>
        <v>2969.5</v>
      </c>
      <c r="H62" s="35">
        <f t="shared" si="3"/>
        <v>2969.5</v>
      </c>
      <c r="I62" s="35">
        <f>I49</f>
        <v>2969.5</v>
      </c>
      <c r="J62" s="33" t="s">
        <v>101</v>
      </c>
      <c r="M62" s="36"/>
    </row>
    <row r="63" spans="2:13" ht="12.75">
      <c r="B63" s="184"/>
      <c r="C63" s="187" t="s">
        <v>112</v>
      </c>
      <c r="D63" s="184"/>
      <c r="E63" s="190" t="s">
        <v>57</v>
      </c>
      <c r="F63" s="35">
        <f>F26</f>
        <v>30909.000000000007</v>
      </c>
      <c r="G63" s="35">
        <f>G26</f>
        <v>10553.400000000001</v>
      </c>
      <c r="H63" s="35">
        <f>H26</f>
        <v>10177.800000000001</v>
      </c>
      <c r="I63" s="35">
        <f>I26</f>
        <v>10177.800000000001</v>
      </c>
      <c r="J63" s="33" t="s">
        <v>32</v>
      </c>
      <c r="M63" s="36"/>
    </row>
    <row r="64" spans="2:13" ht="38.25">
      <c r="B64" s="185"/>
      <c r="C64" s="188"/>
      <c r="D64" s="185"/>
      <c r="E64" s="191"/>
      <c r="F64" s="35">
        <f aca="true" t="shared" si="4" ref="F64:I65">F27</f>
        <v>29553.700000000004</v>
      </c>
      <c r="G64" s="35">
        <f t="shared" si="4"/>
        <v>9198.1</v>
      </c>
      <c r="H64" s="35">
        <f t="shared" si="4"/>
        <v>10177.800000000001</v>
      </c>
      <c r="I64" s="35">
        <f t="shared" si="4"/>
        <v>10177.800000000001</v>
      </c>
      <c r="J64" s="33" t="s">
        <v>58</v>
      </c>
      <c r="M64" s="36"/>
    </row>
    <row r="65" spans="2:13" ht="25.5">
      <c r="B65" s="186"/>
      <c r="C65" s="189"/>
      <c r="D65" s="186"/>
      <c r="E65" s="192"/>
      <c r="F65" s="35">
        <f t="shared" si="4"/>
        <v>1355.3000000000002</v>
      </c>
      <c r="G65" s="35">
        <f t="shared" si="4"/>
        <v>1355.3000000000002</v>
      </c>
      <c r="H65" s="35">
        <f t="shared" si="4"/>
        <v>0</v>
      </c>
      <c r="I65" s="35">
        <f t="shared" si="4"/>
        <v>0</v>
      </c>
      <c r="J65" s="33" t="s">
        <v>101</v>
      </c>
      <c r="M65" s="36"/>
    </row>
    <row r="66" spans="2:13" ht="38.25">
      <c r="B66" s="41"/>
      <c r="C66" s="34" t="s">
        <v>113</v>
      </c>
      <c r="D66" s="41"/>
      <c r="E66" s="33" t="s">
        <v>57</v>
      </c>
      <c r="F66" s="35">
        <f>F30</f>
        <v>25572.899999999998</v>
      </c>
      <c r="G66" s="35">
        <f>G30</f>
        <v>8524.3</v>
      </c>
      <c r="H66" s="35">
        <f>H30</f>
        <v>8524.3</v>
      </c>
      <c r="I66" s="35">
        <f>I30</f>
        <v>8524.3</v>
      </c>
      <c r="J66" s="33" t="s">
        <v>58</v>
      </c>
      <c r="M66" s="36"/>
    </row>
    <row r="67" spans="2:13" ht="25.5">
      <c r="B67" s="41"/>
      <c r="C67" s="34" t="s">
        <v>114</v>
      </c>
      <c r="D67" s="41"/>
      <c r="E67" s="33" t="s">
        <v>57</v>
      </c>
      <c r="F67" s="35">
        <f>F39</f>
        <v>50</v>
      </c>
      <c r="G67" s="35">
        <f>G39</f>
        <v>50</v>
      </c>
      <c r="H67" s="35">
        <f>H39</f>
        <v>0</v>
      </c>
      <c r="I67" s="35">
        <f>I39</f>
        <v>0</v>
      </c>
      <c r="J67" s="33" t="s">
        <v>101</v>
      </c>
      <c r="M67" s="36"/>
    </row>
  </sheetData>
  <sheetProtection/>
  <mergeCells count="59">
    <mergeCell ref="B6:J6"/>
    <mergeCell ref="B8:B10"/>
    <mergeCell ref="C8:C10"/>
    <mergeCell ref="D8:D10"/>
    <mergeCell ref="E8:E10"/>
    <mergeCell ref="F8:I8"/>
    <mergeCell ref="J8:J10"/>
    <mergeCell ref="F9:F10"/>
    <mergeCell ref="G9:I9"/>
    <mergeCell ref="B12:J12"/>
    <mergeCell ref="B13:J13"/>
    <mergeCell ref="B14:J14"/>
    <mergeCell ref="B15:B17"/>
    <mergeCell ref="C15:C17"/>
    <mergeCell ref="D15:D17"/>
    <mergeCell ref="E15:E17"/>
    <mergeCell ref="B19:B21"/>
    <mergeCell ref="C19:C21"/>
    <mergeCell ref="D19:D21"/>
    <mergeCell ref="E19:E21"/>
    <mergeCell ref="F25:J25"/>
    <mergeCell ref="B26:B28"/>
    <mergeCell ref="C26:C28"/>
    <mergeCell ref="D26:D28"/>
    <mergeCell ref="E26:E28"/>
    <mergeCell ref="B29:J29"/>
    <mergeCell ref="B32:B34"/>
    <mergeCell ref="C32:C34"/>
    <mergeCell ref="D32:D34"/>
    <mergeCell ref="E32:E34"/>
    <mergeCell ref="B35:J35"/>
    <mergeCell ref="B36:J36"/>
    <mergeCell ref="B40:J40"/>
    <mergeCell ref="B41:J41"/>
    <mergeCell ref="B42:J42"/>
    <mergeCell ref="F43:J43"/>
    <mergeCell ref="B47:B49"/>
    <mergeCell ref="C47:C49"/>
    <mergeCell ref="D47:D49"/>
    <mergeCell ref="E47:E49"/>
    <mergeCell ref="D60:D62"/>
    <mergeCell ref="E60:E62"/>
    <mergeCell ref="B50:J50"/>
    <mergeCell ref="F51:J51"/>
    <mergeCell ref="F52:J52"/>
    <mergeCell ref="B53:B55"/>
    <mergeCell ref="C53:C55"/>
    <mergeCell ref="D53:D55"/>
    <mergeCell ref="E53:E55"/>
    <mergeCell ref="B63:B65"/>
    <mergeCell ref="C63:C65"/>
    <mergeCell ref="D63:D65"/>
    <mergeCell ref="E63:E65"/>
    <mergeCell ref="B56:B58"/>
    <mergeCell ref="C56:C58"/>
    <mergeCell ref="D56:D58"/>
    <mergeCell ref="E56:E58"/>
    <mergeCell ref="B60:B62"/>
    <mergeCell ref="C60:C6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93"/>
  <sheetViews>
    <sheetView zoomScale="50" zoomScaleNormal="50" zoomScalePageLayoutView="0" workbookViewId="0" topLeftCell="A11">
      <selection activeCell="AL19" sqref="AL19"/>
    </sheetView>
  </sheetViews>
  <sheetFormatPr defaultColWidth="9.140625" defaultRowHeight="12.75"/>
  <cols>
    <col min="1" max="1" width="51.421875" style="6" customWidth="1"/>
    <col min="2" max="2" width="15.140625" style="6" customWidth="1"/>
    <col min="3" max="3" width="13.8515625" style="7" hidden="1" customWidth="1"/>
    <col min="4" max="6" width="13.421875" style="7" hidden="1" customWidth="1"/>
    <col min="7" max="7" width="16.140625" style="1" customWidth="1"/>
    <col min="8" max="8" width="16.140625" style="1" hidden="1" customWidth="1"/>
    <col min="9" max="9" width="16.140625" style="1" customWidth="1"/>
    <col min="10" max="10" width="16.140625" style="1" hidden="1" customWidth="1"/>
    <col min="11" max="11" width="16.140625" style="1" customWidth="1"/>
    <col min="12" max="12" width="16.140625" style="1" hidden="1" customWidth="1"/>
    <col min="13" max="13" width="16.140625" style="1" customWidth="1"/>
    <col min="14" max="14" width="16.140625" style="1" hidden="1" customWidth="1"/>
    <col min="15" max="15" width="16.140625" style="1" customWidth="1"/>
    <col min="16" max="16" width="16.140625" style="1" hidden="1" customWidth="1"/>
    <col min="17" max="17" width="16.140625" style="1" customWidth="1"/>
    <col min="18" max="18" width="16.140625" style="1" hidden="1" customWidth="1"/>
    <col min="19" max="19" width="16.140625" style="7" customWidth="1"/>
    <col min="20" max="20" width="16.140625" style="7" hidden="1" customWidth="1"/>
    <col min="21" max="21" width="16.140625" style="7" customWidth="1"/>
    <col min="22" max="22" width="16.140625" style="7" hidden="1" customWidth="1"/>
    <col min="23" max="23" width="16.140625" style="7" customWidth="1"/>
    <col min="24" max="24" width="16.140625" style="7" hidden="1" customWidth="1"/>
    <col min="25" max="25" width="16.140625" style="7" customWidth="1"/>
    <col min="26" max="26" width="16.140625" style="7" hidden="1" customWidth="1"/>
    <col min="27" max="27" width="16.140625" style="7" customWidth="1"/>
    <col min="28" max="28" width="16.140625" style="7" hidden="1" customWidth="1"/>
    <col min="29" max="29" width="16.140625" style="7" customWidth="1"/>
    <col min="30" max="30" width="16.140625" style="7" hidden="1" customWidth="1"/>
    <col min="31" max="31" width="22.7109375" style="6" hidden="1" customWidth="1"/>
    <col min="32" max="32" width="3.7109375" style="1" customWidth="1"/>
    <col min="33" max="33" width="14.57421875" style="75" customWidth="1"/>
    <col min="34" max="34" width="13.421875" style="75" customWidth="1"/>
    <col min="35" max="35" width="17.7109375" style="1" customWidth="1"/>
    <col min="36" max="36" width="11.7109375" style="1" customWidth="1"/>
    <col min="37" max="37" width="11.7109375" style="1" hidden="1" customWidth="1"/>
    <col min="38" max="38" width="11.7109375" style="1" customWidth="1"/>
    <col min="39" max="39" width="11.7109375" style="1" hidden="1" customWidth="1"/>
    <col min="40" max="40" width="11.7109375" style="1" customWidth="1"/>
    <col min="41" max="41" width="11.7109375" style="1" hidden="1" customWidth="1"/>
    <col min="42" max="42" width="11.7109375" style="1" customWidth="1"/>
    <col min="43" max="43" width="11.7109375" style="1" hidden="1" customWidth="1"/>
    <col min="44" max="44" width="11.7109375" style="1" customWidth="1"/>
    <col min="45" max="45" width="11.7109375" style="1" hidden="1" customWidth="1"/>
    <col min="46" max="46" width="11.7109375" style="1" customWidth="1"/>
    <col min="47" max="47" width="11.7109375" style="1" hidden="1" customWidth="1"/>
    <col min="48" max="48" width="11.7109375" style="1" customWidth="1"/>
    <col min="49" max="49" width="11.7109375" style="1" hidden="1" customWidth="1"/>
    <col min="50" max="50" width="11.7109375" style="1" customWidth="1"/>
    <col min="51" max="51" width="11.7109375" style="1" hidden="1" customWidth="1"/>
    <col min="52" max="52" width="11.7109375" style="1" customWidth="1"/>
    <col min="53" max="53" width="11.7109375" style="1" hidden="1" customWidth="1"/>
    <col min="54" max="54" width="11.7109375" style="1" customWidth="1"/>
    <col min="55" max="55" width="11.7109375" style="1" hidden="1" customWidth="1"/>
    <col min="56" max="56" width="11.7109375" style="1" customWidth="1"/>
    <col min="57" max="57" width="11.7109375" style="1" hidden="1" customWidth="1"/>
    <col min="58" max="58" width="11.7109375" style="1" customWidth="1"/>
    <col min="59" max="60" width="9.140625" style="1" customWidth="1"/>
    <col min="61" max="61" width="9.8515625" style="1" bestFit="1" customWidth="1"/>
    <col min="62" max="16384" width="9.140625" style="1" customWidth="1"/>
  </cols>
  <sheetData>
    <row r="1" spans="1:18" ht="26.25" customHeight="1">
      <c r="A1" s="26"/>
      <c r="F1" s="170"/>
      <c r="G1" s="170"/>
      <c r="H1" s="24"/>
      <c r="I1" s="24"/>
      <c r="J1" s="24"/>
      <c r="N1" s="24" t="s">
        <v>26</v>
      </c>
      <c r="O1" s="24"/>
      <c r="P1" s="24"/>
      <c r="Q1" s="24"/>
      <c r="R1" s="24"/>
    </row>
    <row r="2" spans="1:18" ht="26.25" customHeight="1">
      <c r="A2" s="23"/>
      <c r="N2" s="170" t="s">
        <v>27</v>
      </c>
      <c r="O2" s="170"/>
      <c r="P2" s="170"/>
      <c r="Q2" s="170"/>
      <c r="R2" s="170"/>
    </row>
    <row r="3" spans="1:31" ht="26.25" customHeight="1">
      <c r="A3" s="23"/>
      <c r="N3" s="171" t="s">
        <v>35</v>
      </c>
      <c r="O3" s="171"/>
      <c r="P3" s="171"/>
      <c r="Q3" s="171"/>
      <c r="R3" s="171"/>
      <c r="AE3" s="8"/>
    </row>
    <row r="4" spans="1:34" s="9" customFormat="1" ht="77.25" customHeight="1">
      <c r="A4" s="27"/>
      <c r="B4" s="27"/>
      <c r="C4" s="27"/>
      <c r="D4" s="27"/>
      <c r="E4" s="27"/>
      <c r="F4" s="27"/>
      <c r="G4" s="27"/>
      <c r="H4" s="27"/>
      <c r="I4" s="27"/>
      <c r="K4" s="27"/>
      <c r="L4" s="27"/>
      <c r="M4" s="27"/>
      <c r="N4" s="27"/>
      <c r="O4" s="27"/>
      <c r="P4" s="27"/>
      <c r="Q4" s="27"/>
      <c r="R4" s="28" t="s">
        <v>14</v>
      </c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8" t="s">
        <v>14</v>
      </c>
      <c r="AG4" s="75"/>
      <c r="AH4" s="75"/>
    </row>
    <row r="5" spans="1:34" s="11" customFormat="1" ht="18.75" customHeight="1">
      <c r="A5" s="172" t="s">
        <v>5</v>
      </c>
      <c r="B5" s="173" t="s">
        <v>23</v>
      </c>
      <c r="C5" s="173" t="s">
        <v>19</v>
      </c>
      <c r="D5" s="173" t="s">
        <v>20</v>
      </c>
      <c r="E5" s="176" t="s">
        <v>15</v>
      </c>
      <c r="F5" s="176"/>
      <c r="G5" s="176" t="s">
        <v>0</v>
      </c>
      <c r="H5" s="176"/>
      <c r="I5" s="176" t="s">
        <v>1</v>
      </c>
      <c r="J5" s="176"/>
      <c r="K5" s="176" t="s">
        <v>2</v>
      </c>
      <c r="L5" s="176"/>
      <c r="M5" s="176" t="s">
        <v>3</v>
      </c>
      <c r="N5" s="176"/>
      <c r="O5" s="176" t="s">
        <v>4</v>
      </c>
      <c r="P5" s="176"/>
      <c r="Q5" s="176" t="s">
        <v>6</v>
      </c>
      <c r="R5" s="176"/>
      <c r="S5" s="176" t="s">
        <v>7</v>
      </c>
      <c r="T5" s="176"/>
      <c r="U5" s="176" t="s">
        <v>8</v>
      </c>
      <c r="V5" s="176"/>
      <c r="W5" s="176" t="s">
        <v>9</v>
      </c>
      <c r="X5" s="176"/>
      <c r="Y5" s="176" t="s">
        <v>10</v>
      </c>
      <c r="Z5" s="176"/>
      <c r="AA5" s="176" t="s">
        <v>11</v>
      </c>
      <c r="AB5" s="176"/>
      <c r="AC5" s="176" t="s">
        <v>12</v>
      </c>
      <c r="AD5" s="176"/>
      <c r="AE5" s="172" t="s">
        <v>21</v>
      </c>
      <c r="AG5" s="76"/>
      <c r="AH5" s="76"/>
    </row>
    <row r="6" spans="1:34" s="13" customFormat="1" ht="84" customHeight="1">
      <c r="A6" s="172"/>
      <c r="B6" s="174"/>
      <c r="C6" s="174"/>
      <c r="D6" s="174"/>
      <c r="E6" s="10" t="s">
        <v>17</v>
      </c>
      <c r="F6" s="10" t="s">
        <v>16</v>
      </c>
      <c r="G6" s="12" t="s">
        <v>13</v>
      </c>
      <c r="H6" s="12" t="s">
        <v>18</v>
      </c>
      <c r="I6" s="12" t="s">
        <v>13</v>
      </c>
      <c r="J6" s="12" t="s">
        <v>18</v>
      </c>
      <c r="K6" s="12" t="s">
        <v>13</v>
      </c>
      <c r="L6" s="12" t="s">
        <v>18</v>
      </c>
      <c r="M6" s="12" t="s">
        <v>13</v>
      </c>
      <c r="N6" s="12" t="s">
        <v>18</v>
      </c>
      <c r="O6" s="12" t="s">
        <v>13</v>
      </c>
      <c r="P6" s="12" t="s">
        <v>18</v>
      </c>
      <c r="Q6" s="12" t="s">
        <v>13</v>
      </c>
      <c r="R6" s="12" t="s">
        <v>18</v>
      </c>
      <c r="S6" s="12" t="s">
        <v>13</v>
      </c>
      <c r="T6" s="12" t="s">
        <v>18</v>
      </c>
      <c r="U6" s="12" t="s">
        <v>13</v>
      </c>
      <c r="V6" s="12" t="s">
        <v>18</v>
      </c>
      <c r="W6" s="12" t="s">
        <v>13</v>
      </c>
      <c r="X6" s="12" t="s">
        <v>18</v>
      </c>
      <c r="Y6" s="12" t="s">
        <v>13</v>
      </c>
      <c r="Z6" s="12" t="s">
        <v>18</v>
      </c>
      <c r="AA6" s="12" t="s">
        <v>13</v>
      </c>
      <c r="AB6" s="12" t="s">
        <v>18</v>
      </c>
      <c r="AC6" s="12" t="s">
        <v>13</v>
      </c>
      <c r="AD6" s="12" t="s">
        <v>18</v>
      </c>
      <c r="AE6" s="172"/>
      <c r="AG6" s="76"/>
      <c r="AH6" s="76"/>
    </row>
    <row r="7" spans="1:34" s="15" customFormat="1" ht="24.75" customHeight="1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  <c r="O7" s="14">
        <v>15</v>
      </c>
      <c r="P7" s="14">
        <v>16</v>
      </c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4">
        <v>23</v>
      </c>
      <c r="X7" s="14">
        <v>24</v>
      </c>
      <c r="Y7" s="14">
        <v>25</v>
      </c>
      <c r="Z7" s="14">
        <v>26</v>
      </c>
      <c r="AA7" s="14">
        <v>27</v>
      </c>
      <c r="AB7" s="14">
        <v>28</v>
      </c>
      <c r="AC7" s="14">
        <v>29</v>
      </c>
      <c r="AD7" s="14">
        <v>30</v>
      </c>
      <c r="AE7" s="14">
        <v>31</v>
      </c>
      <c r="AG7" s="77"/>
      <c r="AH7" s="77"/>
    </row>
    <row r="8" spans="1:34" s="17" customFormat="1" ht="20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16"/>
      <c r="X8" s="16"/>
      <c r="Y8" s="16"/>
      <c r="Z8" s="16"/>
      <c r="AA8" s="16"/>
      <c r="AB8" s="16"/>
      <c r="AC8" s="16"/>
      <c r="AD8" s="16"/>
      <c r="AE8" s="16"/>
      <c r="AG8" s="78"/>
      <c r="AH8" s="78"/>
    </row>
    <row r="9" spans="1:34" s="17" customFormat="1" ht="20.25">
      <c r="A9" s="19" t="s">
        <v>36</v>
      </c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G9" s="78"/>
      <c r="AH9" s="78"/>
    </row>
    <row r="10" spans="1:34" s="18" customFormat="1" ht="48.75" customHeight="1">
      <c r="A10" s="30" t="s">
        <v>115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G10" s="79"/>
      <c r="AH10" s="79"/>
    </row>
    <row r="11" spans="1:34" s="18" customFormat="1" ht="56.25">
      <c r="A11" s="5" t="s">
        <v>116</v>
      </c>
      <c r="B11" s="5"/>
      <c r="C11" s="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1"/>
      <c r="AG11" s="79"/>
      <c r="AH11" s="79"/>
    </row>
    <row r="12" spans="1:34" s="18" customFormat="1" ht="20.25">
      <c r="A12" s="4" t="s">
        <v>22</v>
      </c>
      <c r="B12" s="4"/>
      <c r="C12" s="3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1"/>
      <c r="AG12" s="79"/>
      <c r="AH12" s="79"/>
    </row>
    <row r="13" spans="1:34" s="18" customFormat="1" ht="77.25" customHeight="1">
      <c r="A13" s="45" t="s">
        <v>117</v>
      </c>
      <c r="B13" s="4"/>
      <c r="C13" s="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1"/>
      <c r="AG13" s="79"/>
      <c r="AH13" s="79"/>
    </row>
    <row r="14" spans="1:58" s="18" customFormat="1" ht="20.25">
      <c r="A14" s="5" t="s">
        <v>32</v>
      </c>
      <c r="B14" s="5">
        <f>B15+B16</f>
        <v>7910.6</v>
      </c>
      <c r="C14" s="2"/>
      <c r="D14" s="2"/>
      <c r="E14" s="2"/>
      <c r="F14" s="2"/>
      <c r="G14" s="85">
        <f>G15+G16</f>
        <v>0</v>
      </c>
      <c r="H14" s="85">
        <f aca="true" t="shared" si="0" ref="H14:AD14">H15+H16</f>
        <v>0</v>
      </c>
      <c r="I14" s="85">
        <f t="shared" si="0"/>
        <v>0</v>
      </c>
      <c r="J14" s="85">
        <f t="shared" si="0"/>
        <v>0</v>
      </c>
      <c r="K14" s="85">
        <f t="shared" si="0"/>
        <v>0</v>
      </c>
      <c r="L14" s="85">
        <f t="shared" si="0"/>
        <v>0</v>
      </c>
      <c r="M14" s="85">
        <f t="shared" si="0"/>
        <v>0</v>
      </c>
      <c r="N14" s="85">
        <f t="shared" si="0"/>
        <v>0</v>
      </c>
      <c r="O14" s="85">
        <f t="shared" si="0"/>
        <v>0</v>
      </c>
      <c r="P14" s="85">
        <f t="shared" si="0"/>
        <v>0</v>
      </c>
      <c r="Q14" s="85">
        <f>Q15+Q16</f>
        <v>2636.9</v>
      </c>
      <c r="R14" s="85">
        <f t="shared" si="0"/>
        <v>0</v>
      </c>
      <c r="S14" s="85">
        <f t="shared" si="0"/>
        <v>2636.9</v>
      </c>
      <c r="T14" s="85">
        <f t="shared" si="0"/>
        <v>0</v>
      </c>
      <c r="U14" s="85">
        <f t="shared" si="0"/>
        <v>2636.7999999999997</v>
      </c>
      <c r="V14" s="85">
        <f t="shared" si="0"/>
        <v>0</v>
      </c>
      <c r="W14" s="85">
        <f t="shared" si="0"/>
        <v>0</v>
      </c>
      <c r="X14" s="85">
        <f t="shared" si="0"/>
        <v>0</v>
      </c>
      <c r="Y14" s="85">
        <f t="shared" si="0"/>
        <v>0</v>
      </c>
      <c r="Z14" s="85">
        <f t="shared" si="0"/>
        <v>0</v>
      </c>
      <c r="AA14" s="85">
        <f t="shared" si="0"/>
        <v>0</v>
      </c>
      <c r="AB14" s="85">
        <f t="shared" si="0"/>
        <v>0</v>
      </c>
      <c r="AC14" s="85">
        <f t="shared" si="0"/>
        <v>0</v>
      </c>
      <c r="AD14" s="2">
        <f t="shared" si="0"/>
        <v>0</v>
      </c>
      <c r="AE14" s="21"/>
      <c r="AG14" s="80">
        <f>G14+I14+K14+M14+O14+Q14+S14+U14+W14+Y14+AA14+AC14</f>
        <v>7910.6</v>
      </c>
      <c r="AH14" s="81">
        <f>B14-AG14</f>
        <v>0</v>
      </c>
      <c r="AI14" s="93">
        <f>AJ14+AL14+AN14+AP14+AR14+AT14+AV14+AX14+AZ14+BB14+BD14+BF14</f>
        <v>7910.615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18">
        <v>0</v>
      </c>
      <c r="AP14" s="18">
        <v>0</v>
      </c>
      <c r="AQ14" s="18">
        <v>0</v>
      </c>
      <c r="AR14" s="18">
        <v>0</v>
      </c>
      <c r="AS14" s="18">
        <v>0</v>
      </c>
      <c r="AT14" s="18">
        <v>2636.872</v>
      </c>
      <c r="AU14" s="18">
        <v>0</v>
      </c>
      <c r="AV14" s="18">
        <v>2636.872</v>
      </c>
      <c r="AW14" s="18">
        <v>0</v>
      </c>
      <c r="AX14" s="18">
        <v>2636.871</v>
      </c>
      <c r="AY14" s="18">
        <v>0</v>
      </c>
      <c r="AZ14" s="18">
        <v>0</v>
      </c>
      <c r="BA14" s="18">
        <v>0</v>
      </c>
      <c r="BB14" s="18">
        <v>0</v>
      </c>
      <c r="BC14" s="18">
        <v>0</v>
      </c>
      <c r="BD14" s="18">
        <v>0</v>
      </c>
      <c r="BE14" s="18">
        <v>0</v>
      </c>
      <c r="BF14" s="18">
        <v>0</v>
      </c>
    </row>
    <row r="15" spans="1:50" s="18" customFormat="1" ht="20.25">
      <c r="A15" s="4" t="s">
        <v>24</v>
      </c>
      <c r="B15" s="4">
        <v>729.1</v>
      </c>
      <c r="C15" s="3"/>
      <c r="D15" s="2"/>
      <c r="E15" s="2"/>
      <c r="F15" s="2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>
        <v>0</v>
      </c>
      <c r="R15" s="85"/>
      <c r="S15" s="85">
        <v>240.9</v>
      </c>
      <c r="T15" s="85"/>
      <c r="U15" s="85">
        <v>488.2</v>
      </c>
      <c r="V15" s="85"/>
      <c r="W15" s="85"/>
      <c r="X15" s="85"/>
      <c r="Y15" s="85"/>
      <c r="Z15" s="85"/>
      <c r="AA15" s="85"/>
      <c r="AB15" s="85"/>
      <c r="AC15" s="85"/>
      <c r="AD15" s="2"/>
      <c r="AE15" s="21"/>
      <c r="AG15" s="80">
        <f aca="true" t="shared" si="1" ref="AG15:AG72">G15+I15+K15+M15+O15+Q15+S15+U15+W15+Y15+AA15+AC15</f>
        <v>729.1</v>
      </c>
      <c r="AH15" s="81">
        <f aca="true" t="shared" si="2" ref="AH15:AH72">B15-AG15</f>
        <v>0</v>
      </c>
      <c r="AI15" s="93">
        <f aca="true" t="shared" si="3" ref="AI15:AI72">AJ15+AL15+AN15+AP15+AR15+AT15+AV15+AX15+AZ15+BB15+BD15+BF15</f>
        <v>729.1020000000001</v>
      </c>
      <c r="AT15" s="18">
        <v>0</v>
      </c>
      <c r="AV15" s="18">
        <v>240.87</v>
      </c>
      <c r="AX15" s="18">
        <v>488.232</v>
      </c>
    </row>
    <row r="16" spans="1:50" s="18" customFormat="1" ht="20.25">
      <c r="A16" s="4" t="s">
        <v>25</v>
      </c>
      <c r="B16" s="4">
        <v>7181.5</v>
      </c>
      <c r="C16" s="3"/>
      <c r="D16" s="2"/>
      <c r="E16" s="2"/>
      <c r="F16" s="2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>
        <v>2636.9</v>
      </c>
      <c r="R16" s="85"/>
      <c r="S16" s="85">
        <v>2396</v>
      </c>
      <c r="T16" s="85"/>
      <c r="U16" s="85">
        <v>2148.6</v>
      </c>
      <c r="V16" s="85"/>
      <c r="W16" s="85"/>
      <c r="X16" s="85"/>
      <c r="Y16" s="85"/>
      <c r="Z16" s="85"/>
      <c r="AA16" s="85"/>
      <c r="AB16" s="85"/>
      <c r="AC16" s="85"/>
      <c r="AD16" s="2"/>
      <c r="AE16" s="21"/>
      <c r="AG16" s="80">
        <f t="shared" si="1"/>
        <v>7181.5</v>
      </c>
      <c r="AH16" s="81">
        <f t="shared" si="2"/>
        <v>0</v>
      </c>
      <c r="AI16" s="93">
        <f t="shared" si="3"/>
        <v>7181.513</v>
      </c>
      <c r="AT16" s="18">
        <v>2636.872</v>
      </c>
      <c r="AV16" s="18">
        <v>2396.002</v>
      </c>
      <c r="AX16" s="18">
        <v>2148.639</v>
      </c>
    </row>
    <row r="17" spans="1:35" s="18" customFormat="1" ht="78.75" customHeight="1">
      <c r="A17" s="46" t="s">
        <v>118</v>
      </c>
      <c r="B17" s="22"/>
      <c r="C17" s="3"/>
      <c r="D17" s="2"/>
      <c r="E17" s="2"/>
      <c r="F17" s="2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2"/>
      <c r="AE17" s="21"/>
      <c r="AG17" s="80">
        <f t="shared" si="1"/>
        <v>0</v>
      </c>
      <c r="AH17" s="81">
        <f t="shared" si="2"/>
        <v>0</v>
      </c>
      <c r="AI17" s="93">
        <f t="shared" si="3"/>
        <v>0</v>
      </c>
    </row>
    <row r="18" spans="1:58" s="18" customFormat="1" ht="20.25">
      <c r="A18" s="5" t="s">
        <v>32</v>
      </c>
      <c r="B18" s="5">
        <f>B19</f>
        <v>256.6</v>
      </c>
      <c r="C18" s="2"/>
      <c r="D18" s="2"/>
      <c r="E18" s="2"/>
      <c r="F18" s="2"/>
      <c r="G18" s="85">
        <f>G19</f>
        <v>0</v>
      </c>
      <c r="H18" s="85">
        <f aca="true" t="shared" si="4" ref="H18:AD18">H19</f>
        <v>0</v>
      </c>
      <c r="I18" s="85">
        <f>I19</f>
        <v>28.5</v>
      </c>
      <c r="J18" s="85">
        <f t="shared" si="4"/>
        <v>0</v>
      </c>
      <c r="K18" s="85">
        <f t="shared" si="4"/>
        <v>28.5</v>
      </c>
      <c r="L18" s="85">
        <f t="shared" si="4"/>
        <v>0</v>
      </c>
      <c r="M18" s="85">
        <f t="shared" si="4"/>
        <v>28.5</v>
      </c>
      <c r="N18" s="85">
        <f t="shared" si="4"/>
        <v>0</v>
      </c>
      <c r="O18" s="85">
        <f t="shared" si="4"/>
        <v>28.5</v>
      </c>
      <c r="P18" s="85">
        <f t="shared" si="4"/>
        <v>0</v>
      </c>
      <c r="Q18" s="85">
        <f t="shared" si="4"/>
        <v>28.5</v>
      </c>
      <c r="R18" s="85">
        <f t="shared" si="4"/>
        <v>0</v>
      </c>
      <c r="S18" s="85">
        <f t="shared" si="4"/>
        <v>0</v>
      </c>
      <c r="T18" s="85">
        <f t="shared" si="4"/>
        <v>0</v>
      </c>
      <c r="U18" s="85">
        <f t="shared" si="4"/>
        <v>0</v>
      </c>
      <c r="V18" s="85">
        <f t="shared" si="4"/>
        <v>0</v>
      </c>
      <c r="W18" s="85">
        <f t="shared" si="4"/>
        <v>28.5</v>
      </c>
      <c r="X18" s="85">
        <f t="shared" si="4"/>
        <v>0</v>
      </c>
      <c r="Y18" s="85">
        <f t="shared" si="4"/>
        <v>28.5</v>
      </c>
      <c r="Z18" s="85">
        <f t="shared" si="4"/>
        <v>0</v>
      </c>
      <c r="AA18" s="85">
        <f t="shared" si="4"/>
        <v>28.5</v>
      </c>
      <c r="AB18" s="85">
        <f t="shared" si="4"/>
        <v>0</v>
      </c>
      <c r="AC18" s="85">
        <f t="shared" si="4"/>
        <v>28.5</v>
      </c>
      <c r="AD18" s="2">
        <f t="shared" si="4"/>
        <v>0</v>
      </c>
      <c r="AE18" s="21"/>
      <c r="AG18" s="80">
        <f t="shared" si="1"/>
        <v>256.5</v>
      </c>
      <c r="AH18" s="81">
        <f t="shared" si="2"/>
        <v>0.10000000000002274</v>
      </c>
      <c r="AI18" s="93">
        <f t="shared" si="3"/>
        <v>256.56100000000004</v>
      </c>
      <c r="AJ18" s="18">
        <v>0</v>
      </c>
      <c r="AK18" s="18">
        <v>0</v>
      </c>
      <c r="AL18" s="18">
        <v>28.508</v>
      </c>
      <c r="AM18" s="18">
        <v>0</v>
      </c>
      <c r="AN18" s="18">
        <v>28.508</v>
      </c>
      <c r="AO18" s="18">
        <v>0</v>
      </c>
      <c r="AP18" s="18">
        <v>28.507</v>
      </c>
      <c r="AQ18" s="18">
        <v>0</v>
      </c>
      <c r="AR18" s="18">
        <v>28.506</v>
      </c>
      <c r="AS18" s="18">
        <v>0</v>
      </c>
      <c r="AT18" s="18">
        <v>28.506</v>
      </c>
      <c r="AU18" s="18">
        <v>0</v>
      </c>
      <c r="AV18" s="18">
        <v>0</v>
      </c>
      <c r="AW18" s="18">
        <v>0</v>
      </c>
      <c r="AX18" s="18">
        <v>0</v>
      </c>
      <c r="AY18" s="18">
        <v>0</v>
      </c>
      <c r="AZ18" s="18">
        <v>28.507</v>
      </c>
      <c r="BA18" s="18">
        <v>0</v>
      </c>
      <c r="BB18" s="18">
        <v>28.507</v>
      </c>
      <c r="BC18" s="18">
        <v>0</v>
      </c>
      <c r="BD18" s="18">
        <v>28.506</v>
      </c>
      <c r="BE18" s="18">
        <v>0</v>
      </c>
      <c r="BF18" s="18">
        <v>28.506</v>
      </c>
    </row>
    <row r="19" spans="1:58" s="18" customFormat="1" ht="20.25">
      <c r="A19" s="4" t="s">
        <v>25</v>
      </c>
      <c r="B19" s="4">
        <v>256.6</v>
      </c>
      <c r="C19" s="3"/>
      <c r="D19" s="2"/>
      <c r="E19" s="2"/>
      <c r="F19" s="2"/>
      <c r="G19" s="85"/>
      <c r="H19" s="85"/>
      <c r="I19" s="85">
        <v>28.5</v>
      </c>
      <c r="J19" s="85"/>
      <c r="K19" s="85">
        <v>28.5</v>
      </c>
      <c r="L19" s="85"/>
      <c r="M19" s="85">
        <v>28.5</v>
      </c>
      <c r="N19" s="85"/>
      <c r="O19" s="85">
        <v>28.5</v>
      </c>
      <c r="P19" s="85"/>
      <c r="Q19" s="85">
        <v>28.5</v>
      </c>
      <c r="R19" s="85"/>
      <c r="S19" s="85"/>
      <c r="T19" s="85"/>
      <c r="U19" s="85"/>
      <c r="V19" s="85"/>
      <c r="W19" s="85">
        <v>28.5</v>
      </c>
      <c r="X19" s="85"/>
      <c r="Y19" s="85">
        <v>28.5</v>
      </c>
      <c r="Z19" s="85"/>
      <c r="AA19" s="85">
        <v>28.5</v>
      </c>
      <c r="AB19" s="85"/>
      <c r="AC19" s="85">
        <v>28.5</v>
      </c>
      <c r="AD19" s="2"/>
      <c r="AE19" s="21"/>
      <c r="AG19" s="80">
        <f t="shared" si="1"/>
        <v>256.5</v>
      </c>
      <c r="AH19" s="91">
        <f t="shared" si="2"/>
        <v>0.10000000000002274</v>
      </c>
      <c r="AI19" s="93">
        <f t="shared" si="3"/>
        <v>256.56100000000004</v>
      </c>
      <c r="AL19" s="18">
        <v>28.508</v>
      </c>
      <c r="AN19" s="18">
        <v>28.508</v>
      </c>
      <c r="AP19" s="18">
        <v>28.507</v>
      </c>
      <c r="AR19" s="18">
        <v>28.506</v>
      </c>
      <c r="AT19" s="18">
        <v>28.506</v>
      </c>
      <c r="AZ19" s="18">
        <v>28.507</v>
      </c>
      <c r="BB19" s="18">
        <v>28.507</v>
      </c>
      <c r="BD19" s="18">
        <v>28.506</v>
      </c>
      <c r="BF19" s="18">
        <v>28.506</v>
      </c>
    </row>
    <row r="20" spans="1:35" s="73" customFormat="1" ht="75">
      <c r="A20" s="68" t="s">
        <v>119</v>
      </c>
      <c r="B20" s="69"/>
      <c r="C20" s="70"/>
      <c r="D20" s="71"/>
      <c r="E20" s="71"/>
      <c r="F20" s="71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71"/>
      <c r="AE20" s="72"/>
      <c r="AG20" s="82">
        <f t="shared" si="1"/>
        <v>0</v>
      </c>
      <c r="AH20" s="83">
        <f t="shared" si="2"/>
        <v>0</v>
      </c>
      <c r="AI20" s="93">
        <f t="shared" si="3"/>
        <v>0</v>
      </c>
    </row>
    <row r="21" spans="1:58" s="73" customFormat="1" ht="20.25">
      <c r="A21" s="74" t="s">
        <v>32</v>
      </c>
      <c r="B21" s="74">
        <f>B22+B23</f>
        <v>792</v>
      </c>
      <c r="C21" s="71"/>
      <c r="D21" s="71"/>
      <c r="E21" s="71"/>
      <c r="F21" s="71"/>
      <c r="G21" s="86">
        <f aca="true" t="shared" si="5" ref="G21:AD21">G22+G23</f>
        <v>0</v>
      </c>
      <c r="H21" s="86">
        <f t="shared" si="5"/>
        <v>0</v>
      </c>
      <c r="I21" s="86">
        <f t="shared" si="5"/>
        <v>74.419</v>
      </c>
      <c r="J21" s="86">
        <f t="shared" si="5"/>
        <v>0</v>
      </c>
      <c r="K21" s="86">
        <f t="shared" si="5"/>
        <v>65.506</v>
      </c>
      <c r="L21" s="86">
        <f t="shared" si="5"/>
        <v>0</v>
      </c>
      <c r="M21" s="86">
        <f t="shared" si="5"/>
        <v>25.915</v>
      </c>
      <c r="N21" s="86">
        <f t="shared" si="5"/>
        <v>0</v>
      </c>
      <c r="O21" s="86">
        <f t="shared" si="5"/>
        <v>125.234</v>
      </c>
      <c r="P21" s="86">
        <f t="shared" si="5"/>
        <v>0</v>
      </c>
      <c r="Q21" s="86">
        <f t="shared" si="5"/>
        <v>125.232</v>
      </c>
      <c r="R21" s="86">
        <f t="shared" si="5"/>
        <v>0</v>
      </c>
      <c r="S21" s="86">
        <f t="shared" si="5"/>
        <v>125.232</v>
      </c>
      <c r="T21" s="86">
        <f t="shared" si="5"/>
        <v>0</v>
      </c>
      <c r="U21" s="86">
        <f t="shared" si="5"/>
        <v>62.62</v>
      </c>
      <c r="V21" s="86">
        <f t="shared" si="5"/>
        <v>0</v>
      </c>
      <c r="W21" s="86">
        <f t="shared" si="5"/>
        <v>62.62</v>
      </c>
      <c r="X21" s="86">
        <f t="shared" si="5"/>
        <v>0</v>
      </c>
      <c r="Y21" s="86">
        <f t="shared" si="5"/>
        <v>62.62</v>
      </c>
      <c r="Z21" s="86">
        <f t="shared" si="5"/>
        <v>0</v>
      </c>
      <c r="AA21" s="86">
        <f t="shared" si="5"/>
        <v>62.62</v>
      </c>
      <c r="AB21" s="86">
        <f t="shared" si="5"/>
        <v>0</v>
      </c>
      <c r="AC21" s="86">
        <f t="shared" si="5"/>
        <v>0</v>
      </c>
      <c r="AD21" s="71">
        <f t="shared" si="5"/>
        <v>0</v>
      </c>
      <c r="AE21" s="72"/>
      <c r="AG21" s="82">
        <f t="shared" si="1"/>
        <v>792.018</v>
      </c>
      <c r="AH21" s="83">
        <f t="shared" si="2"/>
        <v>-0.018000000000029104</v>
      </c>
      <c r="AI21" s="93">
        <f t="shared" si="3"/>
        <v>792.018</v>
      </c>
      <c r="AJ21" s="73">
        <v>0</v>
      </c>
      <c r="AK21" s="73">
        <v>0</v>
      </c>
      <c r="AL21" s="73">
        <v>74.419</v>
      </c>
      <c r="AM21" s="73">
        <v>0</v>
      </c>
      <c r="AN21" s="73">
        <v>65.506</v>
      </c>
      <c r="AO21" s="73">
        <v>0</v>
      </c>
      <c r="AP21" s="73">
        <v>25.915</v>
      </c>
      <c r="AQ21" s="73">
        <v>0</v>
      </c>
      <c r="AR21" s="73">
        <v>125.234</v>
      </c>
      <c r="AS21" s="73">
        <v>0</v>
      </c>
      <c r="AT21" s="73">
        <v>125.232</v>
      </c>
      <c r="AU21" s="73">
        <v>0</v>
      </c>
      <c r="AV21" s="73">
        <v>125.232</v>
      </c>
      <c r="AW21" s="73">
        <v>0</v>
      </c>
      <c r="AX21" s="73">
        <v>62.62</v>
      </c>
      <c r="AY21" s="73">
        <v>0</v>
      </c>
      <c r="AZ21" s="73">
        <v>62.62</v>
      </c>
      <c r="BA21" s="73">
        <v>0</v>
      </c>
      <c r="BB21" s="73">
        <v>62.62</v>
      </c>
      <c r="BC21" s="73">
        <v>0</v>
      </c>
      <c r="BD21" s="73">
        <v>62.62</v>
      </c>
      <c r="BE21" s="73">
        <v>0</v>
      </c>
      <c r="BF21" s="73">
        <v>0</v>
      </c>
    </row>
    <row r="22" spans="1:56" s="73" customFormat="1" ht="20.25">
      <c r="A22" s="69" t="s">
        <v>24</v>
      </c>
      <c r="B22" s="69">
        <v>626.2</v>
      </c>
      <c r="C22" s="70"/>
      <c r="D22" s="71"/>
      <c r="E22" s="71"/>
      <c r="F22" s="71"/>
      <c r="G22" s="86"/>
      <c r="H22" s="86"/>
      <c r="I22" s="86">
        <v>0</v>
      </c>
      <c r="J22" s="86"/>
      <c r="K22" s="86">
        <v>0</v>
      </c>
      <c r="L22" s="86"/>
      <c r="M22" s="86">
        <v>0</v>
      </c>
      <c r="N22" s="86"/>
      <c r="O22" s="86">
        <v>125.234</v>
      </c>
      <c r="P22" s="86"/>
      <c r="Q22" s="86">
        <v>125.232</v>
      </c>
      <c r="R22" s="86"/>
      <c r="S22" s="86">
        <v>125.232</v>
      </c>
      <c r="T22" s="86"/>
      <c r="U22" s="86">
        <v>62.62</v>
      </c>
      <c r="V22" s="86"/>
      <c r="W22" s="86">
        <v>62.62</v>
      </c>
      <c r="X22" s="86"/>
      <c r="Y22" s="86">
        <v>62.62</v>
      </c>
      <c r="Z22" s="86"/>
      <c r="AA22" s="86">
        <v>62.62</v>
      </c>
      <c r="AB22" s="86"/>
      <c r="AC22" s="86"/>
      <c r="AD22" s="71"/>
      <c r="AE22" s="72"/>
      <c r="AG22" s="82">
        <f t="shared" si="1"/>
        <v>626.178</v>
      </c>
      <c r="AH22" s="83">
        <f t="shared" si="2"/>
        <v>0.022000000000048203</v>
      </c>
      <c r="AI22" s="93">
        <f t="shared" si="3"/>
        <v>626.178</v>
      </c>
      <c r="AL22" s="73">
        <v>0</v>
      </c>
      <c r="AN22" s="73">
        <v>0</v>
      </c>
      <c r="AP22" s="73">
        <v>0</v>
      </c>
      <c r="AR22" s="73">
        <v>125.234</v>
      </c>
      <c r="AT22" s="73">
        <v>125.232</v>
      </c>
      <c r="AV22" s="73">
        <v>125.232</v>
      </c>
      <c r="AX22" s="73">
        <v>62.62</v>
      </c>
      <c r="AZ22" s="73">
        <v>62.62</v>
      </c>
      <c r="BB22" s="73">
        <v>62.62</v>
      </c>
      <c r="BD22" s="73">
        <v>62.62</v>
      </c>
    </row>
    <row r="23" spans="1:56" s="73" customFormat="1" ht="20.25">
      <c r="A23" s="69" t="s">
        <v>25</v>
      </c>
      <c r="B23" s="69">
        <v>165.8</v>
      </c>
      <c r="C23" s="70"/>
      <c r="D23" s="71"/>
      <c r="E23" s="71"/>
      <c r="F23" s="71"/>
      <c r="G23" s="86"/>
      <c r="H23" s="86"/>
      <c r="I23" s="86">
        <v>74.419</v>
      </c>
      <c r="J23" s="86"/>
      <c r="K23" s="86">
        <v>65.506</v>
      </c>
      <c r="L23" s="86"/>
      <c r="M23" s="86">
        <v>25.915</v>
      </c>
      <c r="N23" s="86"/>
      <c r="O23" s="86">
        <v>0</v>
      </c>
      <c r="P23" s="86"/>
      <c r="Q23" s="86">
        <v>0</v>
      </c>
      <c r="R23" s="86"/>
      <c r="S23" s="86">
        <v>0</v>
      </c>
      <c r="T23" s="86"/>
      <c r="U23" s="86">
        <v>0</v>
      </c>
      <c r="V23" s="86"/>
      <c r="W23" s="86">
        <v>0</v>
      </c>
      <c r="X23" s="86"/>
      <c r="Y23" s="86">
        <v>0</v>
      </c>
      <c r="Z23" s="86"/>
      <c r="AA23" s="86">
        <v>0</v>
      </c>
      <c r="AB23" s="86"/>
      <c r="AC23" s="86"/>
      <c r="AD23" s="71"/>
      <c r="AE23" s="72"/>
      <c r="AG23" s="82">
        <f t="shared" si="1"/>
        <v>165.84</v>
      </c>
      <c r="AH23" s="83">
        <f t="shared" si="2"/>
        <v>-0.03999999999999204</v>
      </c>
      <c r="AI23" s="93">
        <f t="shared" si="3"/>
        <v>165.84</v>
      </c>
      <c r="AL23" s="73">
        <v>74.419</v>
      </c>
      <c r="AN23" s="73">
        <v>65.506</v>
      </c>
      <c r="AP23" s="73">
        <v>25.915</v>
      </c>
      <c r="AR23" s="73">
        <v>0</v>
      </c>
      <c r="AT23" s="73">
        <v>0</v>
      </c>
      <c r="AV23" s="73">
        <v>0</v>
      </c>
      <c r="AX23" s="73">
        <v>0</v>
      </c>
      <c r="AZ23" s="73">
        <v>0</v>
      </c>
      <c r="BB23" s="73">
        <v>0</v>
      </c>
      <c r="BD23" s="73">
        <v>0</v>
      </c>
    </row>
    <row r="24" spans="1:35" s="18" customFormat="1" ht="96" customHeight="1">
      <c r="A24" s="45" t="s">
        <v>120</v>
      </c>
      <c r="B24" s="4"/>
      <c r="C24" s="3"/>
      <c r="D24" s="2"/>
      <c r="E24" s="2"/>
      <c r="F24" s="2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2"/>
      <c r="AE24" s="21"/>
      <c r="AG24" s="80">
        <f t="shared" si="1"/>
        <v>0</v>
      </c>
      <c r="AH24" s="81">
        <f t="shared" si="2"/>
        <v>0</v>
      </c>
      <c r="AI24" s="93">
        <f t="shared" si="3"/>
        <v>0</v>
      </c>
    </row>
    <row r="25" spans="1:58" s="18" customFormat="1" ht="20.25">
      <c r="A25" s="5" t="s">
        <v>32</v>
      </c>
      <c r="B25" s="5">
        <f>B26</f>
        <v>505.1</v>
      </c>
      <c r="C25" s="2"/>
      <c r="D25" s="2"/>
      <c r="E25" s="2"/>
      <c r="F25" s="2"/>
      <c r="G25" s="85">
        <f aca="true" t="shared" si="6" ref="G25:AD25">G26</f>
        <v>0</v>
      </c>
      <c r="H25" s="85">
        <f t="shared" si="6"/>
        <v>0</v>
      </c>
      <c r="I25" s="85">
        <f t="shared" si="6"/>
        <v>291.57</v>
      </c>
      <c r="J25" s="85">
        <f t="shared" si="6"/>
        <v>0</v>
      </c>
      <c r="K25" s="85">
        <f t="shared" si="6"/>
        <v>0</v>
      </c>
      <c r="L25" s="85">
        <f t="shared" si="6"/>
        <v>0</v>
      </c>
      <c r="M25" s="85">
        <f t="shared" si="6"/>
        <v>33.168</v>
      </c>
      <c r="N25" s="85">
        <f t="shared" si="6"/>
        <v>0</v>
      </c>
      <c r="O25" s="85">
        <f t="shared" si="6"/>
        <v>123.152</v>
      </c>
      <c r="P25" s="85">
        <f t="shared" si="6"/>
        <v>0</v>
      </c>
      <c r="Q25" s="85">
        <f t="shared" si="6"/>
        <v>7.568</v>
      </c>
      <c r="R25" s="85">
        <f t="shared" si="6"/>
        <v>0</v>
      </c>
      <c r="S25" s="85">
        <f t="shared" si="6"/>
        <v>34.5</v>
      </c>
      <c r="T25" s="85">
        <f t="shared" si="6"/>
        <v>0</v>
      </c>
      <c r="U25" s="85">
        <f t="shared" si="6"/>
        <v>7.57</v>
      </c>
      <c r="V25" s="85">
        <f t="shared" si="6"/>
        <v>0</v>
      </c>
      <c r="W25" s="85">
        <f t="shared" si="6"/>
        <v>0</v>
      </c>
      <c r="X25" s="85">
        <f t="shared" si="6"/>
        <v>0</v>
      </c>
      <c r="Y25" s="85">
        <f t="shared" si="6"/>
        <v>7.568</v>
      </c>
      <c r="Z25" s="85">
        <f t="shared" si="6"/>
        <v>0</v>
      </c>
      <c r="AA25" s="85">
        <f t="shared" si="6"/>
        <v>0</v>
      </c>
      <c r="AB25" s="85">
        <f t="shared" si="6"/>
        <v>0</v>
      </c>
      <c r="AC25" s="85">
        <f t="shared" si="6"/>
        <v>0</v>
      </c>
      <c r="AD25" s="2">
        <f t="shared" si="6"/>
        <v>0</v>
      </c>
      <c r="AE25" s="21"/>
      <c r="AG25" s="80">
        <f t="shared" si="1"/>
        <v>505.09599999999995</v>
      </c>
      <c r="AH25" s="81">
        <f t="shared" si="2"/>
        <v>0.004000000000075943</v>
      </c>
      <c r="AI25" s="93">
        <f t="shared" si="3"/>
        <v>505.09599999999995</v>
      </c>
      <c r="AJ25" s="18">
        <v>0</v>
      </c>
      <c r="AK25" s="18">
        <v>0</v>
      </c>
      <c r="AL25" s="18">
        <v>291.57</v>
      </c>
      <c r="AM25" s="18">
        <v>0</v>
      </c>
      <c r="AN25" s="18">
        <v>0</v>
      </c>
      <c r="AO25" s="18">
        <v>0</v>
      </c>
      <c r="AP25" s="18">
        <v>33.168</v>
      </c>
      <c r="AQ25" s="18">
        <v>0</v>
      </c>
      <c r="AR25" s="18">
        <v>123.152</v>
      </c>
      <c r="AS25" s="18">
        <v>0</v>
      </c>
      <c r="AT25" s="18">
        <v>7.568</v>
      </c>
      <c r="AU25" s="18">
        <v>0</v>
      </c>
      <c r="AV25" s="18">
        <v>34.5</v>
      </c>
      <c r="AW25" s="18">
        <v>0</v>
      </c>
      <c r="AX25" s="18">
        <v>7.57</v>
      </c>
      <c r="AY25" s="18">
        <v>0</v>
      </c>
      <c r="AZ25" s="18">
        <v>0</v>
      </c>
      <c r="BA25" s="18">
        <v>0</v>
      </c>
      <c r="BB25" s="18">
        <v>7.568</v>
      </c>
      <c r="BC25" s="18">
        <v>0</v>
      </c>
      <c r="BD25" s="18">
        <v>0</v>
      </c>
      <c r="BE25" s="18">
        <v>0</v>
      </c>
      <c r="BF25" s="18">
        <v>0</v>
      </c>
    </row>
    <row r="26" spans="1:54" s="18" customFormat="1" ht="20.25">
      <c r="A26" s="4" t="s">
        <v>25</v>
      </c>
      <c r="B26" s="4">
        <v>505.1</v>
      </c>
      <c r="C26" s="3"/>
      <c r="D26" s="2"/>
      <c r="E26" s="2"/>
      <c r="F26" s="2"/>
      <c r="G26" s="85"/>
      <c r="H26" s="85"/>
      <c r="I26" s="85">
        <v>291.57</v>
      </c>
      <c r="J26" s="85"/>
      <c r="K26" s="85"/>
      <c r="L26" s="85"/>
      <c r="M26" s="85">
        <v>33.168</v>
      </c>
      <c r="N26" s="85"/>
      <c r="O26" s="85">
        <v>123.152</v>
      </c>
      <c r="P26" s="85"/>
      <c r="Q26" s="85">
        <v>7.568</v>
      </c>
      <c r="R26" s="85"/>
      <c r="S26" s="85">
        <v>34.5</v>
      </c>
      <c r="T26" s="85"/>
      <c r="U26" s="85">
        <v>7.57</v>
      </c>
      <c r="V26" s="85"/>
      <c r="W26" s="85"/>
      <c r="X26" s="85"/>
      <c r="Y26" s="85">
        <v>7.568</v>
      </c>
      <c r="Z26" s="85"/>
      <c r="AA26" s="85"/>
      <c r="AB26" s="85"/>
      <c r="AC26" s="85"/>
      <c r="AD26" s="2"/>
      <c r="AE26" s="21"/>
      <c r="AG26" s="80">
        <f t="shared" si="1"/>
        <v>505.09599999999995</v>
      </c>
      <c r="AH26" s="81">
        <f t="shared" si="2"/>
        <v>0.004000000000075943</v>
      </c>
      <c r="AI26" s="93">
        <f t="shared" si="3"/>
        <v>505.09599999999995</v>
      </c>
      <c r="AL26" s="18">
        <v>291.57</v>
      </c>
      <c r="AP26" s="18">
        <v>33.168</v>
      </c>
      <c r="AR26" s="18">
        <v>123.152</v>
      </c>
      <c r="AT26" s="18">
        <v>7.568</v>
      </c>
      <c r="AV26" s="18">
        <v>34.5</v>
      </c>
      <c r="AX26" s="18">
        <v>7.57</v>
      </c>
      <c r="BB26" s="18">
        <v>7.568</v>
      </c>
    </row>
    <row r="27" spans="1:35" s="73" customFormat="1" ht="37.5">
      <c r="A27" s="68" t="s">
        <v>121</v>
      </c>
      <c r="B27" s="69"/>
      <c r="C27" s="70"/>
      <c r="D27" s="71"/>
      <c r="E27" s="71"/>
      <c r="F27" s="71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71"/>
      <c r="AE27" s="72"/>
      <c r="AG27" s="82">
        <f t="shared" si="1"/>
        <v>0</v>
      </c>
      <c r="AH27" s="83">
        <f t="shared" si="2"/>
        <v>0</v>
      </c>
      <c r="AI27" s="93">
        <f t="shared" si="3"/>
        <v>0</v>
      </c>
    </row>
    <row r="28" spans="1:58" s="73" customFormat="1" ht="20.25">
      <c r="A28" s="74" t="s">
        <v>32</v>
      </c>
      <c r="B28" s="74">
        <f>B29</f>
        <v>1054.1</v>
      </c>
      <c r="C28" s="71"/>
      <c r="D28" s="71"/>
      <c r="E28" s="71"/>
      <c r="F28" s="71"/>
      <c r="G28" s="86">
        <f aca="true" t="shared" si="7" ref="G28:AD28">G29</f>
        <v>0</v>
      </c>
      <c r="H28" s="86">
        <f t="shared" si="7"/>
        <v>0</v>
      </c>
      <c r="I28" s="86">
        <f t="shared" si="7"/>
        <v>0</v>
      </c>
      <c r="J28" s="86">
        <f t="shared" si="7"/>
        <v>0</v>
      </c>
      <c r="K28" s="86">
        <f t="shared" si="7"/>
        <v>0</v>
      </c>
      <c r="L28" s="86">
        <f t="shared" si="7"/>
        <v>0</v>
      </c>
      <c r="M28" s="86">
        <f t="shared" si="7"/>
        <v>0</v>
      </c>
      <c r="N28" s="86">
        <f t="shared" si="7"/>
        <v>0</v>
      </c>
      <c r="O28" s="86">
        <f t="shared" si="7"/>
        <v>0</v>
      </c>
      <c r="P28" s="86">
        <f t="shared" si="7"/>
        <v>0</v>
      </c>
      <c r="Q28" s="86">
        <f t="shared" si="7"/>
        <v>351.382</v>
      </c>
      <c r="R28" s="86">
        <f t="shared" si="7"/>
        <v>0</v>
      </c>
      <c r="S28" s="86">
        <f t="shared" si="7"/>
        <v>351.381</v>
      </c>
      <c r="T28" s="86">
        <f t="shared" si="7"/>
        <v>0</v>
      </c>
      <c r="U28" s="86">
        <f t="shared" si="7"/>
        <v>351.381</v>
      </c>
      <c r="V28" s="86">
        <f t="shared" si="7"/>
        <v>0</v>
      </c>
      <c r="W28" s="86">
        <f t="shared" si="7"/>
        <v>0</v>
      </c>
      <c r="X28" s="86">
        <f t="shared" si="7"/>
        <v>0</v>
      </c>
      <c r="Y28" s="86">
        <f t="shared" si="7"/>
        <v>0</v>
      </c>
      <c r="Z28" s="86">
        <f t="shared" si="7"/>
        <v>0</v>
      </c>
      <c r="AA28" s="86">
        <f t="shared" si="7"/>
        <v>0</v>
      </c>
      <c r="AB28" s="86">
        <f t="shared" si="7"/>
        <v>0</v>
      </c>
      <c r="AC28" s="86">
        <f t="shared" si="7"/>
        <v>0</v>
      </c>
      <c r="AD28" s="71">
        <f t="shared" si="7"/>
        <v>0</v>
      </c>
      <c r="AE28" s="72"/>
      <c r="AG28" s="82">
        <f t="shared" si="1"/>
        <v>1054.1439999999998</v>
      </c>
      <c r="AH28" s="83">
        <f t="shared" si="2"/>
        <v>-0.04399999999986903</v>
      </c>
      <c r="AI28" s="93">
        <f t="shared" si="3"/>
        <v>1054.1439999999998</v>
      </c>
      <c r="AJ28" s="73">
        <v>0</v>
      </c>
      <c r="AK28" s="73">
        <v>0</v>
      </c>
      <c r="AL28" s="73">
        <v>0</v>
      </c>
      <c r="AM28" s="73">
        <v>0</v>
      </c>
      <c r="AN28" s="73">
        <v>0</v>
      </c>
      <c r="AO28" s="73">
        <v>0</v>
      </c>
      <c r="AP28" s="73">
        <v>0</v>
      </c>
      <c r="AQ28" s="73">
        <v>0</v>
      </c>
      <c r="AR28" s="73">
        <v>0</v>
      </c>
      <c r="AS28" s="73">
        <v>0</v>
      </c>
      <c r="AT28" s="73">
        <v>351.382</v>
      </c>
      <c r="AU28" s="73">
        <v>0</v>
      </c>
      <c r="AV28" s="73">
        <v>351.381</v>
      </c>
      <c r="AW28" s="73">
        <v>0</v>
      </c>
      <c r="AX28" s="73">
        <v>351.381</v>
      </c>
      <c r="AY28" s="73">
        <v>0</v>
      </c>
      <c r="AZ28" s="73">
        <v>0</v>
      </c>
      <c r="BA28" s="73">
        <v>0</v>
      </c>
      <c r="BB28" s="73">
        <v>0</v>
      </c>
      <c r="BC28" s="73">
        <v>0</v>
      </c>
      <c r="BD28" s="73">
        <v>0</v>
      </c>
      <c r="BE28" s="73">
        <v>0</v>
      </c>
      <c r="BF28" s="73">
        <v>0</v>
      </c>
    </row>
    <row r="29" spans="1:61" s="73" customFormat="1" ht="20.25">
      <c r="A29" s="69" t="s">
        <v>25</v>
      </c>
      <c r="B29" s="69">
        <v>1054.1</v>
      </c>
      <c r="C29" s="70"/>
      <c r="D29" s="71"/>
      <c r="E29" s="71"/>
      <c r="F29" s="71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>
        <v>351.382</v>
      </c>
      <c r="R29" s="86"/>
      <c r="S29" s="86">
        <v>351.381</v>
      </c>
      <c r="T29" s="86"/>
      <c r="U29" s="86">
        <v>351.381</v>
      </c>
      <c r="V29" s="86"/>
      <c r="W29" s="86"/>
      <c r="X29" s="86"/>
      <c r="Y29" s="86"/>
      <c r="Z29" s="86"/>
      <c r="AA29" s="86"/>
      <c r="AB29" s="86"/>
      <c r="AC29" s="86"/>
      <c r="AD29" s="71"/>
      <c r="AE29" s="72"/>
      <c r="AG29" s="82">
        <f t="shared" si="1"/>
        <v>1054.1439999999998</v>
      </c>
      <c r="AH29" s="83">
        <f>B29-AG29</f>
        <v>-0.04399999999986903</v>
      </c>
      <c r="AI29" s="93">
        <f t="shared" si="3"/>
        <v>1054.1439999999998</v>
      </c>
      <c r="AT29" s="73">
        <v>351.382</v>
      </c>
      <c r="AV29" s="73">
        <v>351.381</v>
      </c>
      <c r="AX29" s="73">
        <v>351.381</v>
      </c>
      <c r="BI29" s="67">
        <f>351.38+351.38+351.38</f>
        <v>1054.1399999999999</v>
      </c>
    </row>
    <row r="30" spans="1:61" s="18" customFormat="1" ht="19.5" customHeight="1">
      <c r="A30" s="45" t="s">
        <v>122</v>
      </c>
      <c r="B30" s="4"/>
      <c r="C30" s="3"/>
      <c r="D30" s="2"/>
      <c r="E30" s="2"/>
      <c r="F30" s="2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2"/>
      <c r="AE30" s="21"/>
      <c r="AG30" s="80">
        <f t="shared" si="1"/>
        <v>0</v>
      </c>
      <c r="AH30" s="81">
        <f t="shared" si="2"/>
        <v>0</v>
      </c>
      <c r="AI30" s="93">
        <f t="shared" si="3"/>
        <v>0</v>
      </c>
      <c r="BI30" s="67">
        <f>351.382+351.381+351.381</f>
        <v>1054.1439999999998</v>
      </c>
    </row>
    <row r="31" spans="1:58" s="18" customFormat="1" ht="20.25">
      <c r="A31" s="5" t="s">
        <v>32</v>
      </c>
      <c r="B31" s="5">
        <f>B32</f>
        <v>35</v>
      </c>
      <c r="C31" s="2"/>
      <c r="D31" s="2"/>
      <c r="E31" s="2"/>
      <c r="F31" s="2"/>
      <c r="G31" s="85">
        <f aca="true" t="shared" si="8" ref="G31:AD31">G32</f>
        <v>0</v>
      </c>
      <c r="H31" s="85">
        <f t="shared" si="8"/>
        <v>0</v>
      </c>
      <c r="I31" s="85">
        <f t="shared" si="8"/>
        <v>0</v>
      </c>
      <c r="J31" s="85">
        <f t="shared" si="8"/>
        <v>0</v>
      </c>
      <c r="K31" s="85">
        <f t="shared" si="8"/>
        <v>0</v>
      </c>
      <c r="L31" s="85">
        <f t="shared" si="8"/>
        <v>0</v>
      </c>
      <c r="M31" s="85">
        <f t="shared" si="8"/>
        <v>0</v>
      </c>
      <c r="N31" s="85">
        <f t="shared" si="8"/>
        <v>0</v>
      </c>
      <c r="O31" s="85">
        <f t="shared" si="8"/>
        <v>35</v>
      </c>
      <c r="P31" s="85">
        <f t="shared" si="8"/>
        <v>0</v>
      </c>
      <c r="Q31" s="85">
        <f t="shared" si="8"/>
        <v>0</v>
      </c>
      <c r="R31" s="85">
        <f t="shared" si="8"/>
        <v>0</v>
      </c>
      <c r="S31" s="85">
        <f t="shared" si="8"/>
        <v>0</v>
      </c>
      <c r="T31" s="85">
        <f t="shared" si="8"/>
        <v>0</v>
      </c>
      <c r="U31" s="85">
        <f t="shared" si="8"/>
        <v>0</v>
      </c>
      <c r="V31" s="85">
        <f t="shared" si="8"/>
        <v>0</v>
      </c>
      <c r="W31" s="85">
        <f t="shared" si="8"/>
        <v>0</v>
      </c>
      <c r="X31" s="85">
        <f t="shared" si="8"/>
        <v>0</v>
      </c>
      <c r="Y31" s="85">
        <f t="shared" si="8"/>
        <v>0</v>
      </c>
      <c r="Z31" s="85">
        <f t="shared" si="8"/>
        <v>0</v>
      </c>
      <c r="AA31" s="85">
        <f t="shared" si="8"/>
        <v>0</v>
      </c>
      <c r="AB31" s="85">
        <f t="shared" si="8"/>
        <v>0</v>
      </c>
      <c r="AC31" s="85">
        <f t="shared" si="8"/>
        <v>0</v>
      </c>
      <c r="AD31" s="2">
        <f t="shared" si="8"/>
        <v>0</v>
      </c>
      <c r="AE31" s="21"/>
      <c r="AG31" s="80">
        <f t="shared" si="1"/>
        <v>35</v>
      </c>
      <c r="AH31" s="81">
        <f t="shared" si="2"/>
        <v>0</v>
      </c>
      <c r="AI31" s="93">
        <f t="shared" si="3"/>
        <v>35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0</v>
      </c>
      <c r="AQ31" s="18">
        <v>0</v>
      </c>
      <c r="AR31" s="18">
        <v>35</v>
      </c>
      <c r="AS31" s="18">
        <v>0</v>
      </c>
      <c r="AT31" s="18">
        <v>0</v>
      </c>
      <c r="AU31" s="18">
        <v>0</v>
      </c>
      <c r="AV31" s="18">
        <v>0</v>
      </c>
      <c r="AW31" s="18">
        <v>0</v>
      </c>
      <c r="AX31" s="18">
        <v>0</v>
      </c>
      <c r="AY31" s="18">
        <v>0</v>
      </c>
      <c r="AZ31" s="18">
        <v>0</v>
      </c>
      <c r="BA31" s="18">
        <v>0</v>
      </c>
      <c r="BB31" s="18">
        <v>0</v>
      </c>
      <c r="BC31" s="18">
        <v>0</v>
      </c>
      <c r="BD31" s="18">
        <v>0</v>
      </c>
      <c r="BE31" s="18">
        <v>0</v>
      </c>
      <c r="BF31" s="18">
        <v>0</v>
      </c>
    </row>
    <row r="32" spans="1:44" s="18" customFormat="1" ht="20.25">
      <c r="A32" s="4" t="s">
        <v>25</v>
      </c>
      <c r="B32" s="4">
        <v>35</v>
      </c>
      <c r="C32" s="3"/>
      <c r="D32" s="2"/>
      <c r="E32" s="2"/>
      <c r="F32" s="2"/>
      <c r="G32" s="85"/>
      <c r="H32" s="85"/>
      <c r="I32" s="85"/>
      <c r="J32" s="85"/>
      <c r="K32" s="85"/>
      <c r="L32" s="85"/>
      <c r="M32" s="85"/>
      <c r="N32" s="85"/>
      <c r="O32" s="85">
        <v>35</v>
      </c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2"/>
      <c r="AE32" s="21"/>
      <c r="AG32" s="80">
        <f t="shared" si="1"/>
        <v>35</v>
      </c>
      <c r="AH32" s="81">
        <f t="shared" si="2"/>
        <v>0</v>
      </c>
      <c r="AI32" s="93">
        <f t="shared" si="3"/>
        <v>35</v>
      </c>
      <c r="AR32" s="18">
        <v>35</v>
      </c>
    </row>
    <row r="33" spans="1:35" s="18" customFormat="1" ht="56.25">
      <c r="A33" s="45" t="s">
        <v>123</v>
      </c>
      <c r="B33" s="4"/>
      <c r="C33" s="3"/>
      <c r="D33" s="2"/>
      <c r="E33" s="2"/>
      <c r="F33" s="2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2"/>
      <c r="AE33" s="21"/>
      <c r="AG33" s="80">
        <f t="shared" si="1"/>
        <v>0</v>
      </c>
      <c r="AH33" s="81">
        <f t="shared" si="2"/>
        <v>0</v>
      </c>
      <c r="AI33" s="93">
        <f t="shared" si="3"/>
        <v>0</v>
      </c>
    </row>
    <row r="34" spans="1:35" s="18" customFormat="1" ht="20.25">
      <c r="A34" s="5" t="s">
        <v>32</v>
      </c>
      <c r="B34" s="5">
        <f>B35</f>
        <v>0</v>
      </c>
      <c r="C34" s="2"/>
      <c r="D34" s="2"/>
      <c r="E34" s="2"/>
      <c r="F34" s="2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2"/>
      <c r="AE34" s="21"/>
      <c r="AG34" s="80">
        <f t="shared" si="1"/>
        <v>0</v>
      </c>
      <c r="AH34" s="81">
        <f t="shared" si="2"/>
        <v>0</v>
      </c>
      <c r="AI34" s="93">
        <f t="shared" si="3"/>
        <v>0</v>
      </c>
    </row>
    <row r="35" spans="1:35" s="18" customFormat="1" ht="20.25">
      <c r="A35" s="4" t="s">
        <v>25</v>
      </c>
      <c r="B35" s="4">
        <v>0</v>
      </c>
      <c r="C35" s="3"/>
      <c r="D35" s="2"/>
      <c r="E35" s="2"/>
      <c r="F35" s="2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2"/>
      <c r="AE35" s="21"/>
      <c r="AG35" s="80">
        <f t="shared" si="1"/>
        <v>0</v>
      </c>
      <c r="AH35" s="81">
        <f t="shared" si="2"/>
        <v>0</v>
      </c>
      <c r="AI35" s="93">
        <f t="shared" si="3"/>
        <v>0</v>
      </c>
    </row>
    <row r="36" spans="1:35" s="18" customFormat="1" ht="56.25">
      <c r="A36" s="5" t="s">
        <v>124</v>
      </c>
      <c r="B36" s="5"/>
      <c r="C36" s="2"/>
      <c r="D36" s="2"/>
      <c r="E36" s="2"/>
      <c r="F36" s="2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2"/>
      <c r="AE36" s="21"/>
      <c r="AG36" s="80">
        <f t="shared" si="1"/>
        <v>0</v>
      </c>
      <c r="AH36" s="81">
        <f t="shared" si="2"/>
        <v>0</v>
      </c>
      <c r="AI36" s="93">
        <f t="shared" si="3"/>
        <v>0</v>
      </c>
    </row>
    <row r="37" spans="1:35" s="18" customFormat="1" ht="20.25">
      <c r="A37" s="4" t="s">
        <v>22</v>
      </c>
      <c r="B37" s="4"/>
      <c r="C37" s="3"/>
      <c r="D37" s="2"/>
      <c r="E37" s="2"/>
      <c r="F37" s="2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2"/>
      <c r="AE37" s="21"/>
      <c r="AG37" s="80">
        <f t="shared" si="1"/>
        <v>0</v>
      </c>
      <c r="AH37" s="81">
        <f t="shared" si="2"/>
        <v>0</v>
      </c>
      <c r="AI37" s="93">
        <f t="shared" si="3"/>
        <v>0</v>
      </c>
    </row>
    <row r="38" spans="1:35" s="18" customFormat="1" ht="74.25" customHeight="1">
      <c r="A38" s="45" t="s">
        <v>125</v>
      </c>
      <c r="B38" s="4"/>
      <c r="C38" s="2"/>
      <c r="D38" s="2"/>
      <c r="E38" s="2"/>
      <c r="F38" s="2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2"/>
      <c r="AE38" s="21"/>
      <c r="AG38" s="80">
        <f t="shared" si="1"/>
        <v>0</v>
      </c>
      <c r="AH38" s="81">
        <f t="shared" si="2"/>
        <v>0</v>
      </c>
      <c r="AI38" s="93">
        <f t="shared" si="3"/>
        <v>0</v>
      </c>
    </row>
    <row r="39" spans="1:58" s="18" customFormat="1" ht="20.25">
      <c r="A39" s="5" t="s">
        <v>32</v>
      </c>
      <c r="B39" s="5">
        <f>B40</f>
        <v>8524.3</v>
      </c>
      <c r="C39" s="2"/>
      <c r="D39" s="2"/>
      <c r="E39" s="2"/>
      <c r="F39" s="2"/>
      <c r="G39" s="85">
        <f>G40</f>
        <v>0</v>
      </c>
      <c r="H39" s="85">
        <f aca="true" t="shared" si="9" ref="H39:AD39">H40</f>
        <v>0</v>
      </c>
      <c r="I39" s="85">
        <f t="shared" si="9"/>
        <v>613</v>
      </c>
      <c r="J39" s="85">
        <f t="shared" si="9"/>
        <v>0</v>
      </c>
      <c r="K39" s="85">
        <f t="shared" si="9"/>
        <v>613</v>
      </c>
      <c r="L39" s="85">
        <f t="shared" si="9"/>
        <v>0</v>
      </c>
      <c r="M39" s="85">
        <f t="shared" si="9"/>
        <v>613</v>
      </c>
      <c r="N39" s="85">
        <f t="shared" si="9"/>
        <v>0</v>
      </c>
      <c r="O39" s="85">
        <f t="shared" si="9"/>
        <v>767.5</v>
      </c>
      <c r="P39" s="85">
        <f t="shared" si="9"/>
        <v>0</v>
      </c>
      <c r="Q39" s="85">
        <f t="shared" si="9"/>
        <v>809.6</v>
      </c>
      <c r="R39" s="85">
        <f t="shared" si="9"/>
        <v>0</v>
      </c>
      <c r="S39" s="85">
        <f t="shared" si="9"/>
        <v>746.5</v>
      </c>
      <c r="T39" s="85">
        <f t="shared" si="9"/>
        <v>0</v>
      </c>
      <c r="U39" s="85">
        <f t="shared" si="9"/>
        <v>760.5</v>
      </c>
      <c r="V39" s="85">
        <f t="shared" si="9"/>
        <v>0</v>
      </c>
      <c r="W39" s="85">
        <f t="shared" si="9"/>
        <v>882.1</v>
      </c>
      <c r="X39" s="85">
        <f t="shared" si="9"/>
        <v>0</v>
      </c>
      <c r="Y39" s="85">
        <f t="shared" si="9"/>
        <v>837.6</v>
      </c>
      <c r="Z39" s="85">
        <f t="shared" si="9"/>
        <v>0</v>
      </c>
      <c r="AA39" s="85">
        <f t="shared" si="9"/>
        <v>627.1</v>
      </c>
      <c r="AB39" s="85">
        <f t="shared" si="9"/>
        <v>0</v>
      </c>
      <c r="AC39" s="85">
        <f t="shared" si="9"/>
        <v>1254.4</v>
      </c>
      <c r="AD39" s="2">
        <f t="shared" si="9"/>
        <v>0</v>
      </c>
      <c r="AE39" s="21"/>
      <c r="AG39" s="80">
        <f t="shared" si="1"/>
        <v>8524.300000000001</v>
      </c>
      <c r="AH39" s="81">
        <f t="shared" si="2"/>
        <v>0</v>
      </c>
      <c r="AI39" s="93">
        <f t="shared" si="3"/>
        <v>8524.300000000001</v>
      </c>
      <c r="AJ39" s="18">
        <v>0</v>
      </c>
      <c r="AK39" s="18">
        <v>0</v>
      </c>
      <c r="AL39" s="18">
        <v>613</v>
      </c>
      <c r="AM39" s="18">
        <v>0</v>
      </c>
      <c r="AN39" s="18">
        <v>613</v>
      </c>
      <c r="AO39" s="18">
        <v>0</v>
      </c>
      <c r="AP39" s="18">
        <v>613</v>
      </c>
      <c r="AQ39" s="18">
        <v>0</v>
      </c>
      <c r="AR39" s="18">
        <v>767.5</v>
      </c>
      <c r="AS39" s="18">
        <v>0</v>
      </c>
      <c r="AT39" s="18">
        <v>809.6</v>
      </c>
      <c r="AU39" s="18">
        <v>0</v>
      </c>
      <c r="AV39" s="18">
        <v>746.5</v>
      </c>
      <c r="AW39" s="18">
        <v>0</v>
      </c>
      <c r="AX39" s="18">
        <v>760.5</v>
      </c>
      <c r="AY39" s="18">
        <v>0</v>
      </c>
      <c r="AZ39" s="18">
        <v>882.1</v>
      </c>
      <c r="BA39" s="18">
        <v>0</v>
      </c>
      <c r="BB39" s="18">
        <v>837.6</v>
      </c>
      <c r="BC39" s="18">
        <v>0</v>
      </c>
      <c r="BD39" s="18">
        <v>627.1</v>
      </c>
      <c r="BE39" s="18">
        <v>0</v>
      </c>
      <c r="BF39" s="18">
        <v>1254.4</v>
      </c>
    </row>
    <row r="40" spans="1:58" s="17" customFormat="1" ht="20.25">
      <c r="A40" s="4" t="s">
        <v>25</v>
      </c>
      <c r="B40" s="4">
        <v>8524.3</v>
      </c>
      <c r="C40" s="3"/>
      <c r="D40" s="3"/>
      <c r="E40" s="3"/>
      <c r="F40" s="3"/>
      <c r="G40" s="87">
        <v>0</v>
      </c>
      <c r="H40" s="87"/>
      <c r="I40" s="87">
        <v>613</v>
      </c>
      <c r="J40" s="87"/>
      <c r="K40" s="87">
        <v>613</v>
      </c>
      <c r="L40" s="87"/>
      <c r="M40" s="87">
        <v>613</v>
      </c>
      <c r="N40" s="87"/>
      <c r="O40" s="87">
        <v>767.5</v>
      </c>
      <c r="P40" s="87"/>
      <c r="Q40" s="87">
        <v>809.6</v>
      </c>
      <c r="R40" s="87"/>
      <c r="S40" s="87">
        <v>746.5</v>
      </c>
      <c r="T40" s="87"/>
      <c r="U40" s="87">
        <v>760.5</v>
      </c>
      <c r="V40" s="87"/>
      <c r="W40" s="87">
        <v>882.1</v>
      </c>
      <c r="X40" s="87"/>
      <c r="Y40" s="87">
        <v>837.6</v>
      </c>
      <c r="Z40" s="87"/>
      <c r="AA40" s="87">
        <v>627.1</v>
      </c>
      <c r="AB40" s="87"/>
      <c r="AC40" s="87">
        <v>1254.4</v>
      </c>
      <c r="AD40" s="3"/>
      <c r="AE40" s="48"/>
      <c r="AG40" s="80">
        <f t="shared" si="1"/>
        <v>8524.300000000001</v>
      </c>
      <c r="AH40" s="81">
        <f t="shared" si="2"/>
        <v>0</v>
      </c>
      <c r="AI40" s="93">
        <f t="shared" si="3"/>
        <v>8524.300000000001</v>
      </c>
      <c r="AJ40" s="17">
        <v>0</v>
      </c>
      <c r="AL40" s="17">
        <v>613</v>
      </c>
      <c r="AN40" s="17">
        <v>613</v>
      </c>
      <c r="AP40" s="17">
        <v>613</v>
      </c>
      <c r="AR40" s="17">
        <v>767.5</v>
      </c>
      <c r="AT40" s="17">
        <v>809.6</v>
      </c>
      <c r="AV40" s="17">
        <v>746.5</v>
      </c>
      <c r="AX40" s="17">
        <v>760.5</v>
      </c>
      <c r="AZ40" s="17">
        <v>882.1</v>
      </c>
      <c r="BB40" s="17">
        <v>837.6</v>
      </c>
      <c r="BD40" s="17">
        <v>627.1</v>
      </c>
      <c r="BF40" s="17">
        <v>1254.4</v>
      </c>
    </row>
    <row r="41" spans="1:35" s="18" customFormat="1" ht="55.5" customHeight="1">
      <c r="A41" s="30" t="s">
        <v>126</v>
      </c>
      <c r="B41" s="30"/>
      <c r="C41" s="30"/>
      <c r="D41" s="30"/>
      <c r="E41" s="30"/>
      <c r="F41" s="30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30"/>
      <c r="AE41" s="30"/>
      <c r="AG41" s="80">
        <f t="shared" si="1"/>
        <v>0</v>
      </c>
      <c r="AH41" s="81">
        <f t="shared" si="2"/>
        <v>0</v>
      </c>
      <c r="AI41" s="93">
        <f t="shared" si="3"/>
        <v>0</v>
      </c>
    </row>
    <row r="42" spans="1:35" s="18" customFormat="1" ht="78" customHeight="1">
      <c r="A42" s="47" t="s">
        <v>127</v>
      </c>
      <c r="B42" s="5"/>
      <c r="C42" s="3"/>
      <c r="D42" s="2"/>
      <c r="E42" s="2"/>
      <c r="F42" s="2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2"/>
      <c r="AE42" s="21"/>
      <c r="AG42" s="80">
        <f t="shared" si="1"/>
        <v>0</v>
      </c>
      <c r="AH42" s="81">
        <f t="shared" si="2"/>
        <v>0</v>
      </c>
      <c r="AI42" s="93">
        <f t="shared" si="3"/>
        <v>0</v>
      </c>
    </row>
    <row r="43" spans="1:35" s="18" customFormat="1" ht="20.25">
      <c r="A43" s="4" t="s">
        <v>22</v>
      </c>
      <c r="B43" s="4"/>
      <c r="C43" s="3"/>
      <c r="D43" s="2"/>
      <c r="E43" s="2"/>
      <c r="F43" s="2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2"/>
      <c r="AE43" s="21"/>
      <c r="AG43" s="80">
        <f t="shared" si="1"/>
        <v>0</v>
      </c>
      <c r="AH43" s="81">
        <f t="shared" si="2"/>
        <v>0</v>
      </c>
      <c r="AI43" s="93">
        <f t="shared" si="3"/>
        <v>0</v>
      </c>
    </row>
    <row r="44" spans="1:35" s="18" customFormat="1" ht="75">
      <c r="A44" s="45" t="s">
        <v>128</v>
      </c>
      <c r="B44" s="4"/>
      <c r="C44" s="3"/>
      <c r="D44" s="2"/>
      <c r="E44" s="2"/>
      <c r="F44" s="2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2"/>
      <c r="AE44" s="21"/>
      <c r="AG44" s="80">
        <f t="shared" si="1"/>
        <v>0</v>
      </c>
      <c r="AH44" s="81">
        <f t="shared" si="2"/>
        <v>0</v>
      </c>
      <c r="AI44" s="93">
        <f t="shared" si="3"/>
        <v>0</v>
      </c>
    </row>
    <row r="45" spans="1:58" s="18" customFormat="1" ht="20.25">
      <c r="A45" s="5" t="s">
        <v>32</v>
      </c>
      <c r="B45" s="5">
        <f>B46</f>
        <v>50</v>
      </c>
      <c r="C45" s="2"/>
      <c r="D45" s="2"/>
      <c r="E45" s="2"/>
      <c r="F45" s="2"/>
      <c r="G45" s="85">
        <f aca="true" t="shared" si="10" ref="G45:AD45">G46</f>
        <v>0</v>
      </c>
      <c r="H45" s="85">
        <f t="shared" si="10"/>
        <v>0</v>
      </c>
      <c r="I45" s="85">
        <f t="shared" si="10"/>
        <v>0</v>
      </c>
      <c r="J45" s="85">
        <f t="shared" si="10"/>
        <v>0</v>
      </c>
      <c r="K45" s="85">
        <f t="shared" si="10"/>
        <v>0</v>
      </c>
      <c r="L45" s="85">
        <f t="shared" si="10"/>
        <v>0</v>
      </c>
      <c r="M45" s="85">
        <f t="shared" si="10"/>
        <v>0</v>
      </c>
      <c r="N45" s="85">
        <f t="shared" si="10"/>
        <v>0</v>
      </c>
      <c r="O45" s="85">
        <f t="shared" si="10"/>
        <v>0</v>
      </c>
      <c r="P45" s="85">
        <f t="shared" si="10"/>
        <v>0</v>
      </c>
      <c r="Q45" s="85">
        <f t="shared" si="10"/>
        <v>0</v>
      </c>
      <c r="R45" s="85">
        <f t="shared" si="10"/>
        <v>0</v>
      </c>
      <c r="S45" s="85">
        <f t="shared" si="10"/>
        <v>0</v>
      </c>
      <c r="T45" s="85">
        <f t="shared" si="10"/>
        <v>0</v>
      </c>
      <c r="U45" s="85">
        <f t="shared" si="10"/>
        <v>0</v>
      </c>
      <c r="V45" s="85">
        <f t="shared" si="10"/>
        <v>0</v>
      </c>
      <c r="W45" s="85">
        <f t="shared" si="10"/>
        <v>0</v>
      </c>
      <c r="X45" s="85">
        <f t="shared" si="10"/>
        <v>0</v>
      </c>
      <c r="Y45" s="85">
        <f t="shared" si="10"/>
        <v>50</v>
      </c>
      <c r="Z45" s="85">
        <f t="shared" si="10"/>
        <v>0</v>
      </c>
      <c r="AA45" s="85">
        <f t="shared" si="10"/>
        <v>0</v>
      </c>
      <c r="AB45" s="85">
        <f t="shared" si="10"/>
        <v>0</v>
      </c>
      <c r="AC45" s="85">
        <f t="shared" si="10"/>
        <v>0</v>
      </c>
      <c r="AD45" s="2">
        <f t="shared" si="10"/>
        <v>0</v>
      </c>
      <c r="AE45" s="21"/>
      <c r="AG45" s="80">
        <f t="shared" si="1"/>
        <v>50</v>
      </c>
      <c r="AH45" s="81">
        <f t="shared" si="2"/>
        <v>0</v>
      </c>
      <c r="AI45" s="93">
        <f t="shared" si="3"/>
        <v>50</v>
      </c>
      <c r="AJ45" s="18">
        <v>0</v>
      </c>
      <c r="AK45" s="18">
        <v>0</v>
      </c>
      <c r="AL45" s="18">
        <v>0</v>
      </c>
      <c r="AM45" s="18">
        <v>0</v>
      </c>
      <c r="AN45" s="18">
        <v>0</v>
      </c>
      <c r="AO45" s="18">
        <v>0</v>
      </c>
      <c r="AP45" s="18">
        <v>0</v>
      </c>
      <c r="AQ45" s="18">
        <v>0</v>
      </c>
      <c r="AR45" s="18">
        <v>0</v>
      </c>
      <c r="AS45" s="18">
        <v>0</v>
      </c>
      <c r="AT45" s="18">
        <v>0</v>
      </c>
      <c r="AU45" s="18">
        <v>0</v>
      </c>
      <c r="AV45" s="18">
        <v>0</v>
      </c>
      <c r="AW45" s="18">
        <v>0</v>
      </c>
      <c r="AX45" s="18">
        <v>0</v>
      </c>
      <c r="AY45" s="18">
        <v>0</v>
      </c>
      <c r="AZ45" s="18">
        <v>0</v>
      </c>
      <c r="BA45" s="18">
        <v>0</v>
      </c>
      <c r="BB45" s="18">
        <v>50</v>
      </c>
      <c r="BC45" s="18">
        <v>0</v>
      </c>
      <c r="BD45" s="18">
        <v>0</v>
      </c>
      <c r="BE45" s="18">
        <v>0</v>
      </c>
      <c r="BF45" s="18">
        <v>0</v>
      </c>
    </row>
    <row r="46" spans="1:54" s="18" customFormat="1" ht="20.25">
      <c r="A46" s="4" t="s">
        <v>24</v>
      </c>
      <c r="B46" s="4">
        <v>50</v>
      </c>
      <c r="C46" s="3"/>
      <c r="D46" s="2"/>
      <c r="E46" s="2"/>
      <c r="F46" s="2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>
        <v>50</v>
      </c>
      <c r="Z46" s="85"/>
      <c r="AA46" s="85"/>
      <c r="AB46" s="85"/>
      <c r="AC46" s="85"/>
      <c r="AD46" s="2"/>
      <c r="AE46" s="21"/>
      <c r="AG46" s="80">
        <f t="shared" si="1"/>
        <v>50</v>
      </c>
      <c r="AH46" s="81">
        <f t="shared" si="2"/>
        <v>0</v>
      </c>
      <c r="AI46" s="93">
        <f t="shared" si="3"/>
        <v>50</v>
      </c>
      <c r="BB46" s="18">
        <v>50</v>
      </c>
    </row>
    <row r="47" spans="1:35" s="18" customFormat="1" ht="40.5" customHeight="1">
      <c r="A47" s="30" t="s">
        <v>129</v>
      </c>
      <c r="B47" s="30"/>
      <c r="C47" s="30"/>
      <c r="D47" s="30"/>
      <c r="E47" s="30"/>
      <c r="F47" s="30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30"/>
      <c r="AE47" s="30"/>
      <c r="AG47" s="80">
        <f t="shared" si="1"/>
        <v>0</v>
      </c>
      <c r="AH47" s="81">
        <f t="shared" si="2"/>
        <v>0</v>
      </c>
      <c r="AI47" s="93">
        <f t="shared" si="3"/>
        <v>0</v>
      </c>
    </row>
    <row r="48" spans="1:35" s="18" customFormat="1" ht="75.75" customHeight="1">
      <c r="A48" s="47" t="s">
        <v>130</v>
      </c>
      <c r="B48" s="5"/>
      <c r="C48" s="3"/>
      <c r="D48" s="2"/>
      <c r="E48" s="2"/>
      <c r="F48" s="2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2"/>
      <c r="AE48" s="21"/>
      <c r="AG48" s="80">
        <f t="shared" si="1"/>
        <v>0</v>
      </c>
      <c r="AH48" s="81">
        <f t="shared" si="2"/>
        <v>0</v>
      </c>
      <c r="AI48" s="93">
        <f t="shared" si="3"/>
        <v>0</v>
      </c>
    </row>
    <row r="49" spans="1:35" s="18" customFormat="1" ht="20.25">
      <c r="A49" s="4" t="s">
        <v>22</v>
      </c>
      <c r="B49" s="4"/>
      <c r="C49" s="3"/>
      <c r="D49" s="2"/>
      <c r="E49" s="2"/>
      <c r="F49" s="2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2"/>
      <c r="AE49" s="21"/>
      <c r="AG49" s="80">
        <f t="shared" si="1"/>
        <v>0</v>
      </c>
      <c r="AH49" s="81">
        <f t="shared" si="2"/>
        <v>0</v>
      </c>
      <c r="AI49" s="93">
        <f t="shared" si="3"/>
        <v>0</v>
      </c>
    </row>
    <row r="50" spans="1:35" s="18" customFormat="1" ht="75.75" customHeight="1">
      <c r="A50" s="45" t="s">
        <v>131</v>
      </c>
      <c r="B50" s="4"/>
      <c r="C50" s="3"/>
      <c r="D50" s="2"/>
      <c r="E50" s="2"/>
      <c r="F50" s="2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2"/>
      <c r="AE50" s="21"/>
      <c r="AG50" s="80">
        <f t="shared" si="1"/>
        <v>0</v>
      </c>
      <c r="AH50" s="81">
        <f t="shared" si="2"/>
        <v>0</v>
      </c>
      <c r="AI50" s="93">
        <f t="shared" si="3"/>
        <v>0</v>
      </c>
    </row>
    <row r="51" spans="1:35" s="18" customFormat="1" ht="20.25">
      <c r="A51" s="5" t="s">
        <v>32</v>
      </c>
      <c r="B51" s="5">
        <f>B52</f>
        <v>0</v>
      </c>
      <c r="C51" s="2"/>
      <c r="D51" s="2"/>
      <c r="E51" s="2"/>
      <c r="F51" s="2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2"/>
      <c r="AE51" s="21"/>
      <c r="AG51" s="80">
        <f t="shared" si="1"/>
        <v>0</v>
      </c>
      <c r="AH51" s="81">
        <f t="shared" si="2"/>
        <v>0</v>
      </c>
      <c r="AI51" s="93">
        <f t="shared" si="3"/>
        <v>0</v>
      </c>
    </row>
    <row r="52" spans="1:35" s="18" customFormat="1" ht="20.25">
      <c r="A52" s="4" t="s">
        <v>25</v>
      </c>
      <c r="B52" s="4">
        <v>0</v>
      </c>
      <c r="C52" s="3"/>
      <c r="D52" s="2"/>
      <c r="E52" s="2"/>
      <c r="F52" s="2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2"/>
      <c r="AE52" s="21"/>
      <c r="AG52" s="80">
        <f t="shared" si="1"/>
        <v>0</v>
      </c>
      <c r="AH52" s="81">
        <f t="shared" si="2"/>
        <v>0</v>
      </c>
      <c r="AI52" s="93">
        <f t="shared" si="3"/>
        <v>0</v>
      </c>
    </row>
    <row r="53" spans="1:35" s="18" customFormat="1" ht="114.75" customHeight="1">
      <c r="A53" s="45" t="s">
        <v>132</v>
      </c>
      <c r="B53" s="4"/>
      <c r="C53" s="3"/>
      <c r="D53" s="2"/>
      <c r="E53" s="2"/>
      <c r="F53" s="2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2"/>
      <c r="AE53" s="21"/>
      <c r="AG53" s="80">
        <f t="shared" si="1"/>
        <v>0</v>
      </c>
      <c r="AH53" s="81">
        <f t="shared" si="2"/>
        <v>0</v>
      </c>
      <c r="AI53" s="93">
        <f t="shared" si="3"/>
        <v>0</v>
      </c>
    </row>
    <row r="54" spans="1:58" s="18" customFormat="1" ht="20.25">
      <c r="A54" s="5" t="s">
        <v>32</v>
      </c>
      <c r="B54" s="5">
        <f>B55</f>
        <v>10</v>
      </c>
      <c r="C54" s="2"/>
      <c r="D54" s="2"/>
      <c r="E54" s="2"/>
      <c r="F54" s="2"/>
      <c r="G54" s="85">
        <f aca="true" t="shared" si="11" ref="G54:AD54">G55</f>
        <v>0</v>
      </c>
      <c r="H54" s="85">
        <f t="shared" si="11"/>
        <v>0</v>
      </c>
      <c r="I54" s="85">
        <f t="shared" si="11"/>
        <v>0</v>
      </c>
      <c r="J54" s="85">
        <f t="shared" si="11"/>
        <v>0</v>
      </c>
      <c r="K54" s="85">
        <f t="shared" si="11"/>
        <v>0</v>
      </c>
      <c r="L54" s="85">
        <f t="shared" si="11"/>
        <v>0</v>
      </c>
      <c r="M54" s="85">
        <f t="shared" si="11"/>
        <v>10</v>
      </c>
      <c r="N54" s="85">
        <f t="shared" si="11"/>
        <v>0</v>
      </c>
      <c r="O54" s="85">
        <f t="shared" si="11"/>
        <v>0</v>
      </c>
      <c r="P54" s="85">
        <f t="shared" si="11"/>
        <v>0</v>
      </c>
      <c r="Q54" s="85">
        <f t="shared" si="11"/>
        <v>0</v>
      </c>
      <c r="R54" s="85">
        <f t="shared" si="11"/>
        <v>0</v>
      </c>
      <c r="S54" s="85">
        <f t="shared" si="11"/>
        <v>0</v>
      </c>
      <c r="T54" s="85">
        <f t="shared" si="11"/>
        <v>0</v>
      </c>
      <c r="U54" s="85">
        <f t="shared" si="11"/>
        <v>0</v>
      </c>
      <c r="V54" s="85">
        <f t="shared" si="11"/>
        <v>0</v>
      </c>
      <c r="W54" s="85">
        <f t="shared" si="11"/>
        <v>0</v>
      </c>
      <c r="X54" s="85">
        <f t="shared" si="11"/>
        <v>0</v>
      </c>
      <c r="Y54" s="85">
        <f t="shared" si="11"/>
        <v>0</v>
      </c>
      <c r="Z54" s="85">
        <f t="shared" si="11"/>
        <v>0</v>
      </c>
      <c r="AA54" s="85">
        <f t="shared" si="11"/>
        <v>0</v>
      </c>
      <c r="AB54" s="85">
        <f t="shared" si="11"/>
        <v>0</v>
      </c>
      <c r="AC54" s="85">
        <f t="shared" si="11"/>
        <v>0</v>
      </c>
      <c r="AD54" s="2">
        <f t="shared" si="11"/>
        <v>0</v>
      </c>
      <c r="AE54" s="21"/>
      <c r="AG54" s="80">
        <f t="shared" si="1"/>
        <v>10</v>
      </c>
      <c r="AH54" s="81">
        <f t="shared" si="2"/>
        <v>0</v>
      </c>
      <c r="AI54" s="93">
        <f t="shared" si="3"/>
        <v>10</v>
      </c>
      <c r="AJ54" s="18">
        <v>0</v>
      </c>
      <c r="AK54" s="18">
        <v>0</v>
      </c>
      <c r="AL54" s="18">
        <v>0</v>
      </c>
      <c r="AM54" s="18">
        <v>0</v>
      </c>
      <c r="AN54" s="18">
        <v>0</v>
      </c>
      <c r="AO54" s="18">
        <v>0</v>
      </c>
      <c r="AP54" s="18">
        <v>10</v>
      </c>
      <c r="AQ54" s="18">
        <v>0</v>
      </c>
      <c r="AR54" s="18">
        <v>0</v>
      </c>
      <c r="AS54" s="18">
        <v>0</v>
      </c>
      <c r="AT54" s="18">
        <v>0</v>
      </c>
      <c r="AU54" s="18">
        <v>0</v>
      </c>
      <c r="AV54" s="18">
        <v>0</v>
      </c>
      <c r="AW54" s="18">
        <v>0</v>
      </c>
      <c r="AX54" s="18">
        <v>0</v>
      </c>
      <c r="AY54" s="18">
        <v>0</v>
      </c>
      <c r="AZ54" s="18">
        <v>0</v>
      </c>
      <c r="BA54" s="18">
        <v>0</v>
      </c>
      <c r="BB54" s="18">
        <v>0</v>
      </c>
      <c r="BC54" s="18">
        <v>0</v>
      </c>
      <c r="BD54" s="18">
        <v>0</v>
      </c>
      <c r="BE54" s="18">
        <v>0</v>
      </c>
      <c r="BF54" s="18">
        <v>0</v>
      </c>
    </row>
    <row r="55" spans="1:58" s="18" customFormat="1" ht="20.25">
      <c r="A55" s="4" t="s">
        <v>25</v>
      </c>
      <c r="B55" s="4">
        <v>10</v>
      </c>
      <c r="C55" s="3"/>
      <c r="D55" s="2"/>
      <c r="E55" s="2"/>
      <c r="F55" s="2"/>
      <c r="G55" s="85">
        <v>0</v>
      </c>
      <c r="H55" s="85"/>
      <c r="I55" s="85">
        <v>0</v>
      </c>
      <c r="J55" s="85"/>
      <c r="K55" s="85">
        <v>0</v>
      </c>
      <c r="L55" s="85"/>
      <c r="M55" s="85">
        <v>10</v>
      </c>
      <c r="N55" s="85"/>
      <c r="O55" s="85">
        <v>0</v>
      </c>
      <c r="P55" s="85"/>
      <c r="Q55" s="85">
        <v>0</v>
      </c>
      <c r="R55" s="85"/>
      <c r="S55" s="85">
        <v>0</v>
      </c>
      <c r="T55" s="85"/>
      <c r="U55" s="85">
        <v>0</v>
      </c>
      <c r="V55" s="85"/>
      <c r="W55" s="85">
        <v>0</v>
      </c>
      <c r="X55" s="85"/>
      <c r="Y55" s="85">
        <v>0</v>
      </c>
      <c r="Z55" s="85"/>
      <c r="AA55" s="85">
        <v>0</v>
      </c>
      <c r="AB55" s="85"/>
      <c r="AC55" s="85">
        <v>0</v>
      </c>
      <c r="AD55" s="2"/>
      <c r="AE55" s="21"/>
      <c r="AG55" s="80">
        <f t="shared" si="1"/>
        <v>10</v>
      </c>
      <c r="AH55" s="81">
        <f t="shared" si="2"/>
        <v>0</v>
      </c>
      <c r="AI55" s="93">
        <f t="shared" si="3"/>
        <v>10</v>
      </c>
      <c r="AJ55" s="18">
        <v>0</v>
      </c>
      <c r="AL55" s="18">
        <v>0</v>
      </c>
      <c r="AN55" s="18">
        <v>0</v>
      </c>
      <c r="AP55" s="18">
        <v>10</v>
      </c>
      <c r="AR55" s="18">
        <v>0</v>
      </c>
      <c r="AT55" s="18">
        <v>0</v>
      </c>
      <c r="AV55" s="18">
        <v>0</v>
      </c>
      <c r="AX55" s="18">
        <v>0</v>
      </c>
      <c r="AZ55" s="18">
        <v>0</v>
      </c>
      <c r="BB55" s="18">
        <v>0</v>
      </c>
      <c r="BD55" s="18">
        <v>0</v>
      </c>
      <c r="BF55" s="18">
        <v>0</v>
      </c>
    </row>
    <row r="56" spans="1:35" s="18" customFormat="1" ht="97.5" customHeight="1">
      <c r="A56" s="45" t="s">
        <v>133</v>
      </c>
      <c r="B56" s="4"/>
      <c r="C56" s="3"/>
      <c r="D56" s="2"/>
      <c r="E56" s="2"/>
      <c r="F56" s="2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2"/>
      <c r="AE56" s="21"/>
      <c r="AG56" s="80">
        <f t="shared" si="1"/>
        <v>0</v>
      </c>
      <c r="AH56" s="81">
        <f t="shared" si="2"/>
        <v>0</v>
      </c>
      <c r="AI56" s="93">
        <f t="shared" si="3"/>
        <v>0</v>
      </c>
    </row>
    <row r="57" spans="1:35" s="18" customFormat="1" ht="20.25">
      <c r="A57" s="5" t="s">
        <v>32</v>
      </c>
      <c r="B57" s="5">
        <f>B58</f>
        <v>0</v>
      </c>
      <c r="C57" s="2"/>
      <c r="D57" s="2"/>
      <c r="E57" s="2"/>
      <c r="F57" s="2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2"/>
      <c r="AE57" s="21"/>
      <c r="AG57" s="80">
        <f t="shared" si="1"/>
        <v>0</v>
      </c>
      <c r="AH57" s="81">
        <f t="shared" si="2"/>
        <v>0</v>
      </c>
      <c r="AI57" s="93">
        <f t="shared" si="3"/>
        <v>0</v>
      </c>
    </row>
    <row r="58" spans="1:35" s="18" customFormat="1" ht="20.25">
      <c r="A58" s="4" t="s">
        <v>25</v>
      </c>
      <c r="B58" s="4">
        <v>0</v>
      </c>
      <c r="C58" s="3"/>
      <c r="D58" s="2"/>
      <c r="E58" s="2"/>
      <c r="F58" s="2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2"/>
      <c r="AE58" s="21"/>
      <c r="AG58" s="80">
        <f t="shared" si="1"/>
        <v>0</v>
      </c>
      <c r="AH58" s="81">
        <f t="shared" si="2"/>
        <v>0</v>
      </c>
      <c r="AI58" s="93">
        <f t="shared" si="3"/>
        <v>0</v>
      </c>
    </row>
    <row r="59" spans="1:35" s="18" customFormat="1" ht="152.25" customHeight="1">
      <c r="A59" s="45" t="s">
        <v>134</v>
      </c>
      <c r="B59" s="4"/>
      <c r="C59" s="3"/>
      <c r="D59" s="2"/>
      <c r="E59" s="2"/>
      <c r="F59" s="2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2"/>
      <c r="AE59" s="21"/>
      <c r="AG59" s="80">
        <f t="shared" si="1"/>
        <v>0</v>
      </c>
      <c r="AH59" s="81">
        <f t="shared" si="2"/>
        <v>0</v>
      </c>
      <c r="AI59" s="93">
        <f t="shared" si="3"/>
        <v>0</v>
      </c>
    </row>
    <row r="60" spans="1:58" s="18" customFormat="1" ht="20.25">
      <c r="A60" s="5" t="s">
        <v>32</v>
      </c>
      <c r="B60" s="5">
        <f>B61</f>
        <v>2969.5</v>
      </c>
      <c r="C60" s="2"/>
      <c r="D60" s="2"/>
      <c r="E60" s="2"/>
      <c r="F60" s="2"/>
      <c r="G60" s="85">
        <f aca="true" t="shared" si="12" ref="G60:AD60">G61</f>
        <v>507.612</v>
      </c>
      <c r="H60" s="85">
        <f t="shared" si="12"/>
        <v>0</v>
      </c>
      <c r="I60" s="85">
        <f t="shared" si="12"/>
        <v>205.861</v>
      </c>
      <c r="J60" s="85">
        <f t="shared" si="12"/>
        <v>0</v>
      </c>
      <c r="K60" s="85">
        <f t="shared" si="12"/>
        <v>90.978</v>
      </c>
      <c r="L60" s="85">
        <f t="shared" si="12"/>
        <v>0</v>
      </c>
      <c r="M60" s="85">
        <f t="shared" si="12"/>
        <v>152.096</v>
      </c>
      <c r="N60" s="85">
        <f t="shared" si="12"/>
        <v>0</v>
      </c>
      <c r="O60" s="85">
        <f t="shared" si="12"/>
        <v>280.49</v>
      </c>
      <c r="P60" s="85">
        <f t="shared" si="12"/>
        <v>0</v>
      </c>
      <c r="Q60" s="85">
        <f t="shared" si="12"/>
        <v>605.149</v>
      </c>
      <c r="R60" s="85">
        <f t="shared" si="12"/>
        <v>0</v>
      </c>
      <c r="S60" s="85">
        <f t="shared" si="12"/>
        <v>230.269</v>
      </c>
      <c r="T60" s="85">
        <f t="shared" si="12"/>
        <v>0</v>
      </c>
      <c r="U60" s="85">
        <f t="shared" si="12"/>
        <v>58.914</v>
      </c>
      <c r="V60" s="85">
        <f t="shared" si="12"/>
        <v>0</v>
      </c>
      <c r="W60" s="85">
        <f t="shared" si="12"/>
        <v>77.284</v>
      </c>
      <c r="X60" s="85">
        <f t="shared" si="12"/>
        <v>0</v>
      </c>
      <c r="Y60" s="85">
        <f t="shared" si="12"/>
        <v>156.421</v>
      </c>
      <c r="Z60" s="85">
        <f t="shared" si="12"/>
        <v>0</v>
      </c>
      <c r="AA60" s="85">
        <f t="shared" si="12"/>
        <v>78.431</v>
      </c>
      <c r="AB60" s="85">
        <f t="shared" si="12"/>
        <v>0</v>
      </c>
      <c r="AC60" s="85">
        <f t="shared" si="12"/>
        <v>525.995</v>
      </c>
      <c r="AD60" s="2">
        <f t="shared" si="12"/>
        <v>0</v>
      </c>
      <c r="AE60" s="21"/>
      <c r="AG60" s="80">
        <f t="shared" si="1"/>
        <v>2969.5</v>
      </c>
      <c r="AH60" s="81">
        <f t="shared" si="2"/>
        <v>0</v>
      </c>
      <c r="AI60" s="93">
        <f t="shared" si="3"/>
        <v>2969.5</v>
      </c>
      <c r="AJ60" s="18">
        <v>507.612</v>
      </c>
      <c r="AK60" s="18">
        <v>0</v>
      </c>
      <c r="AL60" s="18">
        <v>205.861</v>
      </c>
      <c r="AM60" s="18">
        <v>0</v>
      </c>
      <c r="AN60" s="18">
        <v>90.978</v>
      </c>
      <c r="AO60" s="18">
        <v>0</v>
      </c>
      <c r="AP60" s="18">
        <v>152.096</v>
      </c>
      <c r="AQ60" s="18">
        <v>0</v>
      </c>
      <c r="AR60" s="18">
        <v>280.49</v>
      </c>
      <c r="AS60" s="18">
        <v>0</v>
      </c>
      <c r="AT60" s="18">
        <v>605.149</v>
      </c>
      <c r="AU60" s="18">
        <v>0</v>
      </c>
      <c r="AV60" s="18">
        <v>230.269</v>
      </c>
      <c r="AW60" s="18">
        <v>0</v>
      </c>
      <c r="AX60" s="18">
        <v>58.914</v>
      </c>
      <c r="AY60" s="18">
        <v>0</v>
      </c>
      <c r="AZ60" s="18">
        <v>77.284</v>
      </c>
      <c r="BA60" s="18">
        <v>0</v>
      </c>
      <c r="BB60" s="18">
        <v>156.421</v>
      </c>
      <c r="BC60" s="18">
        <v>0</v>
      </c>
      <c r="BD60" s="18">
        <v>78.431</v>
      </c>
      <c r="BE60" s="18">
        <v>0</v>
      </c>
      <c r="BF60" s="18">
        <v>525.995</v>
      </c>
    </row>
    <row r="61" spans="1:58" s="18" customFormat="1" ht="20.25">
      <c r="A61" s="4" t="s">
        <v>24</v>
      </c>
      <c r="B61" s="4">
        <v>2969.5</v>
      </c>
      <c r="C61" s="3"/>
      <c r="D61" s="2"/>
      <c r="E61" s="2"/>
      <c r="F61" s="2"/>
      <c r="G61" s="85">
        <f>(408437+0+22000+5953+4737+27885+38600)/1000</f>
        <v>507.612</v>
      </c>
      <c r="H61" s="85"/>
      <c r="I61" s="85">
        <f>(60874+1500+123348+2078+3061+15000+0)/1000</f>
        <v>205.861</v>
      </c>
      <c r="J61" s="85"/>
      <c r="K61" s="85">
        <f>(60874+0+18384+2078+3061+6581+0)/1000</f>
        <v>90.978</v>
      </c>
      <c r="L61" s="85"/>
      <c r="M61" s="85">
        <f>(121748+0+18384+2078+3061+6825+0)/1000</f>
        <v>152.096</v>
      </c>
      <c r="N61" s="85"/>
      <c r="O61" s="85">
        <f>(262933+0+12418+2078+3061+0+0)/1000</f>
        <v>280.49</v>
      </c>
      <c r="P61" s="85"/>
      <c r="Q61" s="85">
        <f>(223410+315200+26819+2078+3061+6581+28000)/1000</f>
        <v>605.149</v>
      </c>
      <c r="R61" s="85"/>
      <c r="S61" s="85">
        <f>(76417+119100+22788+2078+3061+6825+0)/1000</f>
        <v>230.269</v>
      </c>
      <c r="T61" s="85"/>
      <c r="U61" s="85">
        <f>(45980+0+7795+2078+3061+0+0)/1000</f>
        <v>58.914</v>
      </c>
      <c r="V61" s="85"/>
      <c r="W61" s="85">
        <f>(60874+0+4690+2078+3061+6581+0)/1000</f>
        <v>77.284</v>
      </c>
      <c r="X61" s="85"/>
      <c r="Y61" s="85">
        <f>(121748+1500+6209+2078+3061+21825+0)/1000</f>
        <v>156.421</v>
      </c>
      <c r="Z61" s="85"/>
      <c r="AA61" s="85">
        <f>(60874+0+12418+2078+3061+0+0)/1000</f>
        <v>78.431</v>
      </c>
      <c r="AB61" s="85"/>
      <c r="AC61" s="85">
        <f>(323231+0+138347+2067+3053+59297+0)/1000</f>
        <v>525.995</v>
      </c>
      <c r="AD61" s="2"/>
      <c r="AE61" s="21"/>
      <c r="AG61" s="80">
        <f t="shared" si="1"/>
        <v>2969.5</v>
      </c>
      <c r="AH61" s="81">
        <f t="shared" si="2"/>
        <v>0</v>
      </c>
      <c r="AI61" s="93">
        <f t="shared" si="3"/>
        <v>2969.5</v>
      </c>
      <c r="AJ61" s="18">
        <v>507.612</v>
      </c>
      <c r="AL61" s="18">
        <v>205.861</v>
      </c>
      <c r="AN61" s="18">
        <v>90.978</v>
      </c>
      <c r="AP61" s="18">
        <v>152.096</v>
      </c>
      <c r="AR61" s="18">
        <v>280.49</v>
      </c>
      <c r="AT61" s="18">
        <v>605.149</v>
      </c>
      <c r="AV61" s="18">
        <v>230.269</v>
      </c>
      <c r="AX61" s="18">
        <v>58.914</v>
      </c>
      <c r="AZ61" s="18">
        <v>77.284</v>
      </c>
      <c r="BB61" s="18">
        <v>156.421</v>
      </c>
      <c r="BD61" s="18">
        <v>78.431</v>
      </c>
      <c r="BF61" s="18">
        <v>525.995</v>
      </c>
    </row>
    <row r="62" spans="1:35" s="18" customFormat="1" ht="56.25">
      <c r="A62" s="5" t="s">
        <v>135</v>
      </c>
      <c r="B62" s="5"/>
      <c r="C62" s="3"/>
      <c r="D62" s="2"/>
      <c r="E62" s="2"/>
      <c r="F62" s="2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2"/>
      <c r="AE62" s="21"/>
      <c r="AG62" s="80">
        <f t="shared" si="1"/>
        <v>0</v>
      </c>
      <c r="AH62" s="81">
        <f t="shared" si="2"/>
        <v>0</v>
      </c>
      <c r="AI62" s="93">
        <f t="shared" si="3"/>
        <v>0</v>
      </c>
    </row>
    <row r="63" spans="1:35" s="18" customFormat="1" ht="20.25">
      <c r="A63" s="4" t="s">
        <v>22</v>
      </c>
      <c r="B63" s="4"/>
      <c r="C63" s="3"/>
      <c r="D63" s="2"/>
      <c r="E63" s="2"/>
      <c r="F63" s="2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2"/>
      <c r="AE63" s="21"/>
      <c r="AG63" s="80">
        <f t="shared" si="1"/>
        <v>0</v>
      </c>
      <c r="AH63" s="81">
        <f t="shared" si="2"/>
        <v>0</v>
      </c>
      <c r="AI63" s="93">
        <f t="shared" si="3"/>
        <v>0</v>
      </c>
    </row>
    <row r="64" spans="1:35" s="18" customFormat="1" ht="60" customHeight="1">
      <c r="A64" s="45" t="s">
        <v>136</v>
      </c>
      <c r="B64" s="4"/>
      <c r="C64" s="3"/>
      <c r="D64" s="2"/>
      <c r="E64" s="2"/>
      <c r="F64" s="2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2"/>
      <c r="AE64" s="21"/>
      <c r="AG64" s="80">
        <f t="shared" si="1"/>
        <v>0</v>
      </c>
      <c r="AH64" s="81">
        <f t="shared" si="2"/>
        <v>0</v>
      </c>
      <c r="AI64" s="93">
        <f t="shared" si="3"/>
        <v>0</v>
      </c>
    </row>
    <row r="65" spans="1:35" s="18" customFormat="1" ht="20.25">
      <c r="A65" s="5" t="s">
        <v>32</v>
      </c>
      <c r="B65" s="5">
        <f>B66</f>
        <v>0</v>
      </c>
      <c r="C65" s="2"/>
      <c r="D65" s="2"/>
      <c r="E65" s="2"/>
      <c r="F65" s="2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2"/>
      <c r="AE65" s="21"/>
      <c r="AG65" s="80">
        <f t="shared" si="1"/>
        <v>0</v>
      </c>
      <c r="AH65" s="81">
        <f t="shared" si="2"/>
        <v>0</v>
      </c>
      <c r="AI65" s="93">
        <f t="shared" si="3"/>
        <v>0</v>
      </c>
    </row>
    <row r="66" spans="1:35" s="18" customFormat="1" ht="20.25">
      <c r="A66" s="4" t="s">
        <v>25</v>
      </c>
      <c r="B66" s="4">
        <v>0</v>
      </c>
      <c r="C66" s="3"/>
      <c r="D66" s="2"/>
      <c r="E66" s="2"/>
      <c r="F66" s="2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2"/>
      <c r="AE66" s="21"/>
      <c r="AG66" s="80">
        <f t="shared" si="1"/>
        <v>0</v>
      </c>
      <c r="AH66" s="81">
        <f t="shared" si="2"/>
        <v>0</v>
      </c>
      <c r="AI66" s="93">
        <f t="shared" si="3"/>
        <v>0</v>
      </c>
    </row>
    <row r="67" spans="1:35" s="18" customFormat="1" ht="174.75" customHeight="1">
      <c r="A67" s="46" t="s">
        <v>137</v>
      </c>
      <c r="B67" s="22"/>
      <c r="C67" s="3"/>
      <c r="D67" s="2"/>
      <c r="E67" s="2"/>
      <c r="F67" s="2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2"/>
      <c r="AE67" s="21"/>
      <c r="AG67" s="80">
        <f t="shared" si="1"/>
        <v>0</v>
      </c>
      <c r="AH67" s="81">
        <f t="shared" si="2"/>
        <v>0</v>
      </c>
      <c r="AI67" s="93">
        <f t="shared" si="3"/>
        <v>0</v>
      </c>
    </row>
    <row r="68" spans="1:35" s="18" customFormat="1" ht="20.25">
      <c r="A68" s="5" t="s">
        <v>32</v>
      </c>
      <c r="B68" s="5">
        <f>B69</f>
        <v>0</v>
      </c>
      <c r="C68" s="2"/>
      <c r="D68" s="2"/>
      <c r="E68" s="2"/>
      <c r="F68" s="2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2"/>
      <c r="AE68" s="21"/>
      <c r="AG68" s="80">
        <f t="shared" si="1"/>
        <v>0</v>
      </c>
      <c r="AH68" s="81">
        <f t="shared" si="2"/>
        <v>0</v>
      </c>
      <c r="AI68" s="93">
        <f t="shared" si="3"/>
        <v>0</v>
      </c>
    </row>
    <row r="69" spans="1:35" s="18" customFormat="1" ht="20.25">
      <c r="A69" s="4" t="s">
        <v>25</v>
      </c>
      <c r="B69" s="4">
        <v>0</v>
      </c>
      <c r="C69" s="3"/>
      <c r="D69" s="2"/>
      <c r="E69" s="2"/>
      <c r="F69" s="2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2"/>
      <c r="AE69" s="21"/>
      <c r="AG69" s="80">
        <f t="shared" si="1"/>
        <v>0</v>
      </c>
      <c r="AH69" s="81">
        <f t="shared" si="2"/>
        <v>0</v>
      </c>
      <c r="AI69" s="93">
        <f t="shared" si="3"/>
        <v>0</v>
      </c>
    </row>
    <row r="70" spans="1:58" s="49" customFormat="1" ht="20.25">
      <c r="A70" s="5" t="s">
        <v>33</v>
      </c>
      <c r="B70" s="5">
        <f>B71+B72</f>
        <v>22107.2</v>
      </c>
      <c r="C70" s="2"/>
      <c r="D70" s="2"/>
      <c r="E70" s="2"/>
      <c r="F70" s="2"/>
      <c r="G70" s="89">
        <f>G71+G72</f>
        <v>507.612</v>
      </c>
      <c r="H70" s="89">
        <f aca="true" t="shared" si="13" ref="H70:AD70">H71+H72</f>
        <v>0</v>
      </c>
      <c r="I70" s="89">
        <f t="shared" si="13"/>
        <v>1213.35</v>
      </c>
      <c r="J70" s="89">
        <f t="shared" si="13"/>
        <v>0</v>
      </c>
      <c r="K70" s="89">
        <f>K71+K72</f>
        <v>797.9839999999999</v>
      </c>
      <c r="L70" s="89">
        <f t="shared" si="13"/>
        <v>0</v>
      </c>
      <c r="M70" s="89">
        <f t="shared" si="13"/>
        <v>862.679</v>
      </c>
      <c r="N70" s="89">
        <f t="shared" si="13"/>
        <v>0</v>
      </c>
      <c r="O70" s="89">
        <f t="shared" si="13"/>
        <v>1359.876</v>
      </c>
      <c r="P70" s="89">
        <f t="shared" si="13"/>
        <v>0</v>
      </c>
      <c r="Q70" s="89">
        <f t="shared" si="13"/>
        <v>4564.331</v>
      </c>
      <c r="R70" s="89">
        <f t="shared" si="13"/>
        <v>0</v>
      </c>
      <c r="S70" s="89">
        <f t="shared" si="13"/>
        <v>4124.782</v>
      </c>
      <c r="T70" s="89">
        <f t="shared" si="13"/>
        <v>0</v>
      </c>
      <c r="U70" s="89">
        <f t="shared" si="13"/>
        <v>3877.785</v>
      </c>
      <c r="V70" s="89">
        <f t="shared" si="13"/>
        <v>0</v>
      </c>
      <c r="W70" s="89">
        <f t="shared" si="13"/>
        <v>1050.504</v>
      </c>
      <c r="X70" s="89">
        <f t="shared" si="13"/>
        <v>0</v>
      </c>
      <c r="Y70" s="89">
        <f t="shared" si="13"/>
        <v>1142.709</v>
      </c>
      <c r="Z70" s="89">
        <f t="shared" si="13"/>
        <v>0</v>
      </c>
      <c r="AA70" s="89">
        <f t="shared" si="13"/>
        <v>796.6510000000001</v>
      </c>
      <c r="AB70" s="89">
        <f t="shared" si="13"/>
        <v>0</v>
      </c>
      <c r="AC70" s="89">
        <f t="shared" si="13"/>
        <v>1808.895</v>
      </c>
      <c r="AD70" s="51">
        <f t="shared" si="13"/>
        <v>0</v>
      </c>
      <c r="AE70" s="21"/>
      <c r="AG70" s="80">
        <f t="shared" si="1"/>
        <v>22107.158000000003</v>
      </c>
      <c r="AH70" s="81">
        <f t="shared" si="2"/>
        <v>0.04199999999764259</v>
      </c>
      <c r="AI70" s="93">
        <f t="shared" si="3"/>
        <v>22107.234</v>
      </c>
      <c r="AJ70" s="49">
        <v>507.612</v>
      </c>
      <c r="AK70" s="49">
        <v>0</v>
      </c>
      <c r="AL70" s="49">
        <v>1213.358</v>
      </c>
      <c r="AM70" s="49">
        <v>0</v>
      </c>
      <c r="AN70" s="49">
        <v>797.992</v>
      </c>
      <c r="AO70" s="49">
        <v>0</v>
      </c>
      <c r="AP70" s="49">
        <v>862.686</v>
      </c>
      <c r="AQ70" s="49">
        <v>0</v>
      </c>
      <c r="AR70" s="49">
        <v>1359.882</v>
      </c>
      <c r="AS70" s="49">
        <v>0</v>
      </c>
      <c r="AT70" s="49">
        <v>4564.309</v>
      </c>
      <c r="AU70" s="49">
        <v>0</v>
      </c>
      <c r="AV70" s="49">
        <v>4124.754</v>
      </c>
      <c r="AW70" s="49">
        <v>0</v>
      </c>
      <c r="AX70" s="49">
        <v>3877.856</v>
      </c>
      <c r="AY70" s="49">
        <v>0</v>
      </c>
      <c r="AZ70" s="49">
        <v>1050.511</v>
      </c>
      <c r="BA70" s="49">
        <v>0</v>
      </c>
      <c r="BB70" s="49">
        <v>1142.7160000000001</v>
      </c>
      <c r="BC70" s="49">
        <v>0</v>
      </c>
      <c r="BD70" s="49">
        <v>796.6569999999999</v>
      </c>
      <c r="BE70" s="49">
        <v>0</v>
      </c>
      <c r="BF70" s="49">
        <v>1808.9010000000003</v>
      </c>
    </row>
    <row r="71" spans="1:58" s="18" customFormat="1" ht="20.25">
      <c r="A71" s="4" t="s">
        <v>24</v>
      </c>
      <c r="B71" s="4">
        <f>B15+B22+B46+B61</f>
        <v>4374.8</v>
      </c>
      <c r="C71" s="3"/>
      <c r="D71" s="2"/>
      <c r="E71" s="2"/>
      <c r="F71" s="2"/>
      <c r="G71" s="90">
        <f>G15+G22+G46+G61</f>
        <v>507.612</v>
      </c>
      <c r="H71" s="90">
        <f aca="true" t="shared" si="14" ref="H71:AD71">H15+H22+H46+H61</f>
        <v>0</v>
      </c>
      <c r="I71" s="90">
        <f t="shared" si="14"/>
        <v>205.861</v>
      </c>
      <c r="J71" s="90">
        <f t="shared" si="14"/>
        <v>0</v>
      </c>
      <c r="K71" s="90">
        <f t="shared" si="14"/>
        <v>90.978</v>
      </c>
      <c r="L71" s="90">
        <f t="shared" si="14"/>
        <v>0</v>
      </c>
      <c r="M71" s="90">
        <f t="shared" si="14"/>
        <v>152.096</v>
      </c>
      <c r="N71" s="90">
        <f t="shared" si="14"/>
        <v>0</v>
      </c>
      <c r="O71" s="90">
        <f t="shared" si="14"/>
        <v>405.724</v>
      </c>
      <c r="P71" s="90">
        <f t="shared" si="14"/>
        <v>0</v>
      </c>
      <c r="Q71" s="90">
        <f t="shared" si="14"/>
        <v>730.381</v>
      </c>
      <c r="R71" s="90">
        <f t="shared" si="14"/>
        <v>0</v>
      </c>
      <c r="S71" s="90">
        <f t="shared" si="14"/>
        <v>596.4010000000001</v>
      </c>
      <c r="T71" s="90">
        <f t="shared" si="14"/>
        <v>0</v>
      </c>
      <c r="U71" s="90">
        <f t="shared" si="14"/>
        <v>609.7339999999999</v>
      </c>
      <c r="V71" s="90">
        <f t="shared" si="14"/>
        <v>0</v>
      </c>
      <c r="W71" s="90">
        <f t="shared" si="14"/>
        <v>139.904</v>
      </c>
      <c r="X71" s="90">
        <f t="shared" si="14"/>
        <v>0</v>
      </c>
      <c r="Y71" s="90">
        <f t="shared" si="14"/>
        <v>269.041</v>
      </c>
      <c r="Z71" s="90">
        <f t="shared" si="14"/>
        <v>0</v>
      </c>
      <c r="AA71" s="90">
        <f t="shared" si="14"/>
        <v>141.051</v>
      </c>
      <c r="AB71" s="90">
        <f t="shared" si="14"/>
        <v>0</v>
      </c>
      <c r="AC71" s="90">
        <f t="shared" si="14"/>
        <v>525.995</v>
      </c>
      <c r="AD71" s="4">
        <f t="shared" si="14"/>
        <v>0</v>
      </c>
      <c r="AE71" s="21"/>
      <c r="AG71" s="80">
        <f t="shared" si="1"/>
        <v>4374.778</v>
      </c>
      <c r="AH71" s="81">
        <f t="shared" si="2"/>
        <v>0.021999999999934516</v>
      </c>
      <c r="AI71" s="93">
        <f t="shared" si="3"/>
        <v>4374.780000000001</v>
      </c>
      <c r="AJ71" s="18">
        <v>507.612</v>
      </c>
      <c r="AK71" s="18">
        <v>0</v>
      </c>
      <c r="AL71" s="18">
        <v>205.861</v>
      </c>
      <c r="AM71" s="18">
        <v>0</v>
      </c>
      <c r="AN71" s="18">
        <v>90.978</v>
      </c>
      <c r="AO71" s="18">
        <v>0</v>
      </c>
      <c r="AP71" s="18">
        <v>152.096</v>
      </c>
      <c r="AQ71" s="18">
        <v>0</v>
      </c>
      <c r="AR71" s="18">
        <v>405.724</v>
      </c>
      <c r="AS71" s="18">
        <v>0</v>
      </c>
      <c r="AT71" s="18">
        <v>730.381</v>
      </c>
      <c r="AU71" s="18">
        <v>0</v>
      </c>
      <c r="AV71" s="18">
        <v>596.371</v>
      </c>
      <c r="AW71" s="18">
        <v>0</v>
      </c>
      <c r="AX71" s="18">
        <v>609.766</v>
      </c>
      <c r="AY71" s="18">
        <v>0</v>
      </c>
      <c r="AZ71" s="18">
        <v>139.904</v>
      </c>
      <c r="BA71" s="18">
        <v>0</v>
      </c>
      <c r="BB71" s="18">
        <v>269.041</v>
      </c>
      <c r="BC71" s="18">
        <v>0</v>
      </c>
      <c r="BD71" s="18">
        <v>141.051</v>
      </c>
      <c r="BE71" s="18">
        <v>0</v>
      </c>
      <c r="BF71" s="18">
        <v>525.995</v>
      </c>
    </row>
    <row r="72" spans="1:58" s="18" customFormat="1" ht="20.25">
      <c r="A72" s="4" t="s">
        <v>25</v>
      </c>
      <c r="B72" s="4">
        <f>B16+B19+B23+B26+B29+B32+B40+B55</f>
        <v>17732.4</v>
      </c>
      <c r="C72" s="3"/>
      <c r="D72" s="2"/>
      <c r="E72" s="2"/>
      <c r="F72" s="2"/>
      <c r="G72" s="90">
        <f>G16+G19+G23+G26+G29+G32+G40+G55</f>
        <v>0</v>
      </c>
      <c r="H72" s="90">
        <f aca="true" t="shared" si="15" ref="H72:AD72">H16+H19+H23+H26+H29+H32+H40+H55</f>
        <v>0</v>
      </c>
      <c r="I72" s="90">
        <f t="shared" si="15"/>
        <v>1007.489</v>
      </c>
      <c r="J72" s="90">
        <f t="shared" si="15"/>
        <v>0</v>
      </c>
      <c r="K72" s="90">
        <f t="shared" si="15"/>
        <v>707.006</v>
      </c>
      <c r="L72" s="90">
        <f t="shared" si="15"/>
        <v>0</v>
      </c>
      <c r="M72" s="90">
        <f t="shared" si="15"/>
        <v>710.583</v>
      </c>
      <c r="N72" s="90">
        <f t="shared" si="15"/>
        <v>0</v>
      </c>
      <c r="O72" s="90">
        <f t="shared" si="15"/>
        <v>954.152</v>
      </c>
      <c r="P72" s="90">
        <f t="shared" si="15"/>
        <v>0</v>
      </c>
      <c r="Q72" s="90">
        <f t="shared" si="15"/>
        <v>3833.9500000000003</v>
      </c>
      <c r="R72" s="90">
        <f t="shared" si="15"/>
        <v>0</v>
      </c>
      <c r="S72" s="90">
        <f t="shared" si="15"/>
        <v>3528.381</v>
      </c>
      <c r="T72" s="90">
        <f t="shared" si="15"/>
        <v>0</v>
      </c>
      <c r="U72" s="90">
        <f t="shared" si="15"/>
        <v>3268.051</v>
      </c>
      <c r="V72" s="90">
        <f t="shared" si="15"/>
        <v>0</v>
      </c>
      <c r="W72" s="90">
        <f t="shared" si="15"/>
        <v>910.6</v>
      </c>
      <c r="X72" s="90">
        <f t="shared" si="15"/>
        <v>0</v>
      </c>
      <c r="Y72" s="90">
        <f t="shared" si="15"/>
        <v>873.668</v>
      </c>
      <c r="Z72" s="90">
        <f t="shared" si="15"/>
        <v>0</v>
      </c>
      <c r="AA72" s="90">
        <f t="shared" si="15"/>
        <v>655.6</v>
      </c>
      <c r="AB72" s="90">
        <f t="shared" si="15"/>
        <v>0</v>
      </c>
      <c r="AC72" s="90">
        <f t="shared" si="15"/>
        <v>1282.9</v>
      </c>
      <c r="AD72" s="50">
        <f t="shared" si="15"/>
        <v>0</v>
      </c>
      <c r="AE72" s="21"/>
      <c r="AG72" s="80">
        <f t="shared" si="1"/>
        <v>17732.38</v>
      </c>
      <c r="AH72" s="81">
        <f t="shared" si="2"/>
        <v>0.020000000000436557</v>
      </c>
      <c r="AI72" s="93">
        <f t="shared" si="3"/>
        <v>17732.453999999998</v>
      </c>
      <c r="AJ72" s="18">
        <v>0</v>
      </c>
      <c r="AK72" s="18">
        <v>0</v>
      </c>
      <c r="AL72" s="18">
        <v>1007.497</v>
      </c>
      <c r="AM72" s="18">
        <v>0</v>
      </c>
      <c r="AN72" s="18">
        <v>707.014</v>
      </c>
      <c r="AO72" s="18">
        <v>0</v>
      </c>
      <c r="AP72" s="18">
        <v>710.59</v>
      </c>
      <c r="AQ72" s="18">
        <v>0</v>
      </c>
      <c r="AR72" s="18">
        <v>954.158</v>
      </c>
      <c r="AS72" s="18">
        <v>0</v>
      </c>
      <c r="AT72" s="18">
        <v>3833.928</v>
      </c>
      <c r="AU72" s="18">
        <v>0</v>
      </c>
      <c r="AV72" s="18">
        <v>3528.383</v>
      </c>
      <c r="AW72" s="18">
        <v>0</v>
      </c>
      <c r="AX72" s="18">
        <v>3268.09</v>
      </c>
      <c r="AY72" s="18">
        <v>0</v>
      </c>
      <c r="AZ72" s="18">
        <v>910.607</v>
      </c>
      <c r="BA72" s="18">
        <v>0</v>
      </c>
      <c r="BB72" s="18">
        <v>873.6750000000001</v>
      </c>
      <c r="BC72" s="18">
        <v>0</v>
      </c>
      <c r="BD72" s="18">
        <v>655.606</v>
      </c>
      <c r="BE72" s="18">
        <v>0</v>
      </c>
      <c r="BF72" s="18">
        <v>1282.9060000000002</v>
      </c>
    </row>
    <row r="73" spans="1:34" s="18" customFormat="1" ht="20.25">
      <c r="A73" s="58"/>
      <c r="B73" s="58"/>
      <c r="C73" s="59"/>
      <c r="D73" s="60"/>
      <c r="E73" s="60"/>
      <c r="F73" s="60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2"/>
      <c r="AG73" s="79"/>
      <c r="AH73" s="79"/>
    </row>
    <row r="74" spans="1:34" s="18" customFormat="1" ht="20.25">
      <c r="A74" s="58"/>
      <c r="B74" s="58"/>
      <c r="D74" s="60"/>
      <c r="E74" s="60"/>
      <c r="F74" s="60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59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2"/>
      <c r="AG74" s="79"/>
      <c r="AH74" s="79"/>
    </row>
    <row r="75" spans="2:28" ht="15.75" customHeight="1">
      <c r="B75" s="54"/>
      <c r="D75" s="53"/>
      <c r="E75" s="57"/>
      <c r="F75" s="57"/>
      <c r="G75" s="57"/>
      <c r="H75" s="53"/>
      <c r="L75" s="17"/>
      <c r="M75" s="17"/>
      <c r="S75" s="53" t="s">
        <v>138</v>
      </c>
      <c r="Y75" s="66"/>
      <c r="Z75" s="66"/>
      <c r="AB75" s="53" t="s">
        <v>139</v>
      </c>
    </row>
    <row r="76" spans="1:42" ht="15.75" customHeight="1">
      <c r="A76" s="53"/>
      <c r="B76" s="54"/>
      <c r="D76" s="53"/>
      <c r="E76" s="57"/>
      <c r="F76" s="57"/>
      <c r="G76" s="57"/>
      <c r="H76" s="53"/>
      <c r="L76" s="17"/>
      <c r="M76" s="17"/>
      <c r="Q76" s="52"/>
      <c r="R76" s="7"/>
      <c r="S76" s="53"/>
      <c r="T76" s="1"/>
      <c r="U76" s="1"/>
      <c r="V76" s="1"/>
      <c r="W76" s="1"/>
      <c r="X76" s="1"/>
      <c r="Y76" s="1"/>
      <c r="Z76" s="1"/>
      <c r="AA76" s="1"/>
      <c r="AB76" s="53"/>
      <c r="AC76" s="1"/>
      <c r="AD76" s="1"/>
      <c r="AE76" s="7"/>
      <c r="AF76" s="7"/>
      <c r="AG76" s="84"/>
      <c r="AH76" s="84"/>
      <c r="AI76" s="7"/>
      <c r="AJ76" s="7"/>
      <c r="AK76" s="7"/>
      <c r="AL76" s="7"/>
      <c r="AM76" s="7"/>
      <c r="AN76" s="7"/>
      <c r="AO76" s="7"/>
      <c r="AP76" s="6"/>
    </row>
    <row r="77" spans="2:42" ht="15.75" customHeight="1">
      <c r="B77" s="54"/>
      <c r="D77" s="53"/>
      <c r="E77" s="53"/>
      <c r="F77" s="57"/>
      <c r="G77" s="57"/>
      <c r="H77" s="53"/>
      <c r="L77" s="17"/>
      <c r="M77" s="17"/>
      <c r="Q77" s="52"/>
      <c r="R77" s="7"/>
      <c r="S77" s="53" t="s">
        <v>140</v>
      </c>
      <c r="T77" s="1"/>
      <c r="U77" s="1"/>
      <c r="V77" s="1"/>
      <c r="W77" s="1"/>
      <c r="X77" s="1"/>
      <c r="Y77" s="1"/>
      <c r="Z77" s="1"/>
      <c r="AA77" s="1"/>
      <c r="AB77" s="53"/>
      <c r="AC77" s="1"/>
      <c r="AD77" s="1"/>
      <c r="AE77" s="7"/>
      <c r="AF77" s="7"/>
      <c r="AG77" s="84"/>
      <c r="AH77" s="84"/>
      <c r="AI77" s="7"/>
      <c r="AJ77" s="7"/>
      <c r="AK77" s="7"/>
      <c r="AL77" s="7"/>
      <c r="AM77" s="7"/>
      <c r="AN77" s="7"/>
      <c r="AO77" s="7"/>
      <c r="AP77" s="6"/>
    </row>
    <row r="78" spans="2:42" ht="15.75" customHeight="1">
      <c r="B78" s="54"/>
      <c r="D78" s="53"/>
      <c r="E78" s="57"/>
      <c r="F78" s="57"/>
      <c r="G78" s="57"/>
      <c r="H78" s="53"/>
      <c r="L78" s="17"/>
      <c r="M78" s="17"/>
      <c r="Q78" s="52"/>
      <c r="R78" s="7"/>
      <c r="S78" s="53" t="s">
        <v>141</v>
      </c>
      <c r="T78" s="1"/>
      <c r="U78" s="1"/>
      <c r="V78" s="1"/>
      <c r="W78" s="1"/>
      <c r="X78" s="1"/>
      <c r="Y78" s="65"/>
      <c r="Z78" s="65"/>
      <c r="AA78" s="1"/>
      <c r="AB78" s="53" t="s">
        <v>142</v>
      </c>
      <c r="AC78" s="1"/>
      <c r="AD78" s="1"/>
      <c r="AE78" s="7"/>
      <c r="AF78" s="7"/>
      <c r="AG78" s="84"/>
      <c r="AH78" s="84"/>
      <c r="AI78" s="7"/>
      <c r="AJ78" s="7"/>
      <c r="AK78" s="7"/>
      <c r="AL78" s="7"/>
      <c r="AM78" s="7"/>
      <c r="AN78" s="7"/>
      <c r="AO78" s="7"/>
      <c r="AP78" s="6"/>
    </row>
    <row r="79" spans="1:28" ht="15.75" customHeight="1">
      <c r="A79" s="53"/>
      <c r="B79" s="55"/>
      <c r="D79" s="53"/>
      <c r="E79" s="57"/>
      <c r="F79" s="57"/>
      <c r="G79" s="57"/>
      <c r="H79" s="53"/>
      <c r="L79" s="17"/>
      <c r="M79" s="17"/>
      <c r="Q79" s="52"/>
      <c r="S79" s="53"/>
      <c r="AB79" s="53"/>
    </row>
    <row r="80" spans="1:28" ht="15.75" customHeight="1">
      <c r="A80" s="53"/>
      <c r="B80" s="56"/>
      <c r="D80" s="53"/>
      <c r="E80" s="53"/>
      <c r="F80" s="57"/>
      <c r="G80" s="57"/>
      <c r="H80" s="53"/>
      <c r="L80" s="17"/>
      <c r="M80" s="17"/>
      <c r="Q80" s="52"/>
      <c r="S80" s="53"/>
      <c r="Y80" s="64"/>
      <c r="Z80" s="64"/>
      <c r="AB80" s="53"/>
    </row>
    <row r="81" spans="2:28" ht="15.75" customHeight="1">
      <c r="B81" s="55"/>
      <c r="D81" s="53"/>
      <c r="E81" s="57"/>
      <c r="F81" s="57"/>
      <c r="G81" s="57"/>
      <c r="H81" s="53"/>
      <c r="L81" s="17"/>
      <c r="M81" s="17"/>
      <c r="Q81" s="52"/>
      <c r="S81" s="53" t="s">
        <v>143</v>
      </c>
      <c r="Y81" s="66"/>
      <c r="Z81" s="66"/>
      <c r="AB81" s="53" t="s">
        <v>144</v>
      </c>
    </row>
    <row r="82" spans="1:28" ht="15.75" customHeight="1">
      <c r="A82" s="53"/>
      <c r="B82" s="56"/>
      <c r="D82" s="53"/>
      <c r="E82" s="53"/>
      <c r="F82" s="57"/>
      <c r="G82" s="57"/>
      <c r="H82" s="53"/>
      <c r="L82" s="17"/>
      <c r="M82" s="17"/>
      <c r="Q82" s="52"/>
      <c r="S82" s="53"/>
      <c r="AB82" s="53"/>
    </row>
    <row r="83" spans="2:28" ht="15.75" customHeight="1">
      <c r="B83" s="55"/>
      <c r="D83" s="53"/>
      <c r="E83" s="53"/>
      <c r="F83" s="57"/>
      <c r="G83" s="57"/>
      <c r="H83" s="53"/>
      <c r="L83" s="17"/>
      <c r="M83" s="17"/>
      <c r="Q83" s="52"/>
      <c r="S83" s="53" t="s">
        <v>145</v>
      </c>
      <c r="AB83" s="53"/>
    </row>
    <row r="84" spans="2:28" ht="15.75" customHeight="1">
      <c r="B84" s="55"/>
      <c r="D84" s="53"/>
      <c r="E84" s="57"/>
      <c r="F84" s="57"/>
      <c r="G84" s="57"/>
      <c r="H84" s="53"/>
      <c r="L84" s="17"/>
      <c r="M84" s="17"/>
      <c r="Q84" s="52"/>
      <c r="S84" s="53" t="s">
        <v>146</v>
      </c>
      <c r="Y84" s="66"/>
      <c r="Z84" s="66"/>
      <c r="AB84" s="53" t="s">
        <v>147</v>
      </c>
    </row>
    <row r="85" spans="1:28" ht="15.75" customHeight="1">
      <c r="A85" s="24"/>
      <c r="B85" s="24"/>
      <c r="D85" s="24"/>
      <c r="E85" s="24"/>
      <c r="F85" s="24"/>
      <c r="G85" s="24"/>
      <c r="H85" s="24"/>
      <c r="I85" s="24"/>
      <c r="Q85" s="52"/>
      <c r="S85" s="24"/>
      <c r="AB85" s="1"/>
    </row>
    <row r="86" ht="15.75" customHeight="1"/>
    <row r="87" spans="2:23" ht="15.75" customHeight="1">
      <c r="B87" s="63"/>
      <c r="D87" s="63"/>
      <c r="E87" s="1"/>
      <c r="F87" s="63"/>
      <c r="G87" s="63"/>
      <c r="S87" s="63" t="s">
        <v>149</v>
      </c>
      <c r="W87" s="63" t="s">
        <v>148</v>
      </c>
    </row>
    <row r="88" ht="15.75" customHeight="1"/>
    <row r="89" ht="15.75" customHeight="1"/>
    <row r="90" ht="15.75" customHeight="1"/>
    <row r="91" ht="15.75" customHeight="1"/>
    <row r="92" ht="15.75" customHeight="1"/>
    <row r="93" spans="5:6" ht="15.75" customHeight="1">
      <c r="E93" s="1"/>
      <c r="F93" s="1"/>
    </row>
    <row r="94" ht="15.75" customHeight="1"/>
  </sheetData>
  <sheetProtection/>
  <mergeCells count="21">
    <mergeCell ref="AA5:AB5"/>
    <mergeCell ref="AC5:AD5"/>
    <mergeCell ref="AE5:AE6"/>
    <mergeCell ref="K5:L5"/>
    <mergeCell ref="M5:N5"/>
    <mergeCell ref="O5:P5"/>
    <mergeCell ref="Q5:R5"/>
    <mergeCell ref="I5:J5"/>
    <mergeCell ref="U5:V5"/>
    <mergeCell ref="S5:T5"/>
    <mergeCell ref="W5:X5"/>
    <mergeCell ref="Y5:Z5"/>
    <mergeCell ref="F1:G1"/>
    <mergeCell ref="N2:R2"/>
    <mergeCell ref="N3:R3"/>
    <mergeCell ref="A5:A6"/>
    <mergeCell ref="B5:B6"/>
    <mergeCell ref="C5:C6"/>
    <mergeCell ref="D5:D6"/>
    <mergeCell ref="E5:F5"/>
    <mergeCell ref="G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93"/>
  <sheetViews>
    <sheetView zoomScale="50" zoomScaleNormal="50" zoomScalePageLayoutView="0" workbookViewId="0" topLeftCell="A1">
      <selection activeCell="AM26" sqref="AM26"/>
    </sheetView>
  </sheetViews>
  <sheetFormatPr defaultColWidth="9.140625" defaultRowHeight="12.75"/>
  <cols>
    <col min="1" max="1" width="51.421875" style="6" customWidth="1"/>
    <col min="2" max="2" width="15.140625" style="6" customWidth="1"/>
    <col min="3" max="3" width="13.8515625" style="7" hidden="1" customWidth="1"/>
    <col min="4" max="6" width="13.421875" style="7" hidden="1" customWidth="1"/>
    <col min="7" max="7" width="16.140625" style="1" customWidth="1"/>
    <col min="8" max="8" width="16.140625" style="1" hidden="1" customWidth="1"/>
    <col min="9" max="9" width="16.140625" style="1" customWidth="1"/>
    <col min="10" max="10" width="16.140625" style="1" hidden="1" customWidth="1"/>
    <col min="11" max="11" width="16.140625" style="1" customWidth="1"/>
    <col min="12" max="12" width="16.140625" style="1" hidden="1" customWidth="1"/>
    <col min="13" max="13" width="16.140625" style="1" customWidth="1"/>
    <col min="14" max="14" width="16.140625" style="1" hidden="1" customWidth="1"/>
    <col min="15" max="15" width="16.140625" style="1" customWidth="1"/>
    <col min="16" max="16" width="16.140625" style="1" hidden="1" customWidth="1"/>
    <col min="17" max="17" width="16.140625" style="1" customWidth="1"/>
    <col min="18" max="18" width="16.140625" style="1" hidden="1" customWidth="1"/>
    <col min="19" max="19" width="16.140625" style="7" customWidth="1"/>
    <col min="20" max="20" width="16.140625" style="7" hidden="1" customWidth="1"/>
    <col min="21" max="21" width="16.140625" style="7" customWidth="1"/>
    <col min="22" max="22" width="16.140625" style="7" hidden="1" customWidth="1"/>
    <col min="23" max="23" width="16.140625" style="7" customWidth="1"/>
    <col min="24" max="24" width="16.140625" style="7" hidden="1" customWidth="1"/>
    <col min="25" max="25" width="16.140625" style="7" customWidth="1"/>
    <col min="26" max="26" width="16.140625" style="7" hidden="1" customWidth="1"/>
    <col min="27" max="27" width="16.140625" style="7" customWidth="1"/>
    <col min="28" max="28" width="16.140625" style="7" hidden="1" customWidth="1"/>
    <col min="29" max="29" width="16.140625" style="7" customWidth="1"/>
    <col min="30" max="30" width="16.140625" style="7" hidden="1" customWidth="1"/>
    <col min="31" max="31" width="22.7109375" style="6" hidden="1" customWidth="1"/>
    <col min="32" max="16384" width="9.140625" style="1" customWidth="1"/>
  </cols>
  <sheetData>
    <row r="1" spans="1:18" ht="26.25" customHeight="1">
      <c r="A1" s="26"/>
      <c r="F1" s="170"/>
      <c r="G1" s="170"/>
      <c r="H1" s="24"/>
      <c r="I1" s="24"/>
      <c r="J1" s="24"/>
      <c r="N1" s="24" t="s">
        <v>26</v>
      </c>
      <c r="O1" s="24"/>
      <c r="P1" s="24"/>
      <c r="Q1" s="24"/>
      <c r="R1" s="24"/>
    </row>
    <row r="2" spans="1:18" ht="26.25" customHeight="1">
      <c r="A2" s="23"/>
      <c r="N2" s="170" t="s">
        <v>27</v>
      </c>
      <c r="O2" s="170"/>
      <c r="P2" s="170"/>
      <c r="Q2" s="170"/>
      <c r="R2" s="170"/>
    </row>
    <row r="3" spans="1:31" ht="26.25" customHeight="1">
      <c r="A3" s="23"/>
      <c r="N3" s="171" t="s">
        <v>35</v>
      </c>
      <c r="O3" s="171"/>
      <c r="P3" s="171"/>
      <c r="Q3" s="171"/>
      <c r="R3" s="171"/>
      <c r="AE3" s="8"/>
    </row>
    <row r="4" spans="1:31" s="9" customFormat="1" ht="77.25" customHeight="1">
      <c r="A4" s="27"/>
      <c r="B4" s="27"/>
      <c r="C4" s="27"/>
      <c r="D4" s="27"/>
      <c r="E4" s="27"/>
      <c r="F4" s="27"/>
      <c r="G4" s="27"/>
      <c r="H4" s="27"/>
      <c r="I4" s="27"/>
      <c r="K4" s="27"/>
      <c r="L4" s="27"/>
      <c r="M4" s="27"/>
      <c r="N4" s="27"/>
      <c r="O4" s="27"/>
      <c r="P4" s="27"/>
      <c r="Q4" s="27"/>
      <c r="R4" s="28" t="s">
        <v>14</v>
      </c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8" t="s">
        <v>14</v>
      </c>
    </row>
    <row r="5" spans="1:31" s="11" customFormat="1" ht="18.75" customHeight="1">
      <c r="A5" s="172" t="s">
        <v>5</v>
      </c>
      <c r="B5" s="173" t="s">
        <v>23</v>
      </c>
      <c r="C5" s="173" t="s">
        <v>19</v>
      </c>
      <c r="D5" s="173" t="s">
        <v>20</v>
      </c>
      <c r="E5" s="176" t="s">
        <v>15</v>
      </c>
      <c r="F5" s="176"/>
      <c r="G5" s="176" t="s">
        <v>0</v>
      </c>
      <c r="H5" s="176"/>
      <c r="I5" s="176" t="s">
        <v>1</v>
      </c>
      <c r="J5" s="176"/>
      <c r="K5" s="176" t="s">
        <v>2</v>
      </c>
      <c r="L5" s="176"/>
      <c r="M5" s="176" t="s">
        <v>3</v>
      </c>
      <c r="N5" s="176"/>
      <c r="O5" s="176" t="s">
        <v>4</v>
      </c>
      <c r="P5" s="176"/>
      <c r="Q5" s="176" t="s">
        <v>6</v>
      </c>
      <c r="R5" s="176"/>
      <c r="S5" s="176" t="s">
        <v>7</v>
      </c>
      <c r="T5" s="176"/>
      <c r="U5" s="176" t="s">
        <v>8</v>
      </c>
      <c r="V5" s="176"/>
      <c r="W5" s="176" t="s">
        <v>9</v>
      </c>
      <c r="X5" s="176"/>
      <c r="Y5" s="176" t="s">
        <v>10</v>
      </c>
      <c r="Z5" s="176"/>
      <c r="AA5" s="176" t="s">
        <v>11</v>
      </c>
      <c r="AB5" s="176"/>
      <c r="AC5" s="176" t="s">
        <v>12</v>
      </c>
      <c r="AD5" s="176"/>
      <c r="AE5" s="172" t="s">
        <v>21</v>
      </c>
    </row>
    <row r="6" spans="1:31" s="13" customFormat="1" ht="84" customHeight="1">
      <c r="A6" s="172"/>
      <c r="B6" s="174"/>
      <c r="C6" s="174"/>
      <c r="D6" s="174"/>
      <c r="E6" s="10" t="s">
        <v>17</v>
      </c>
      <c r="F6" s="10" t="s">
        <v>16</v>
      </c>
      <c r="G6" s="12" t="s">
        <v>13</v>
      </c>
      <c r="H6" s="12" t="s">
        <v>18</v>
      </c>
      <c r="I6" s="12" t="s">
        <v>13</v>
      </c>
      <c r="J6" s="12" t="s">
        <v>18</v>
      </c>
      <c r="K6" s="12" t="s">
        <v>13</v>
      </c>
      <c r="L6" s="12" t="s">
        <v>18</v>
      </c>
      <c r="M6" s="12" t="s">
        <v>13</v>
      </c>
      <c r="N6" s="12" t="s">
        <v>18</v>
      </c>
      <c r="O6" s="12" t="s">
        <v>13</v>
      </c>
      <c r="P6" s="12" t="s">
        <v>18</v>
      </c>
      <c r="Q6" s="12" t="s">
        <v>13</v>
      </c>
      <c r="R6" s="12" t="s">
        <v>18</v>
      </c>
      <c r="S6" s="12" t="s">
        <v>13</v>
      </c>
      <c r="T6" s="12" t="s">
        <v>18</v>
      </c>
      <c r="U6" s="12" t="s">
        <v>13</v>
      </c>
      <c r="V6" s="12" t="s">
        <v>18</v>
      </c>
      <c r="W6" s="12" t="s">
        <v>13</v>
      </c>
      <c r="X6" s="12" t="s">
        <v>18</v>
      </c>
      <c r="Y6" s="12" t="s">
        <v>13</v>
      </c>
      <c r="Z6" s="12" t="s">
        <v>18</v>
      </c>
      <c r="AA6" s="12" t="s">
        <v>13</v>
      </c>
      <c r="AB6" s="12" t="s">
        <v>18</v>
      </c>
      <c r="AC6" s="12" t="s">
        <v>13</v>
      </c>
      <c r="AD6" s="12" t="s">
        <v>18</v>
      </c>
      <c r="AE6" s="172"/>
    </row>
    <row r="7" spans="1:31" s="15" customFormat="1" ht="24.75" customHeight="1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  <c r="O7" s="14">
        <v>15</v>
      </c>
      <c r="P7" s="14">
        <v>16</v>
      </c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4">
        <v>23</v>
      </c>
      <c r="X7" s="14">
        <v>24</v>
      </c>
      <c r="Y7" s="14">
        <v>25</v>
      </c>
      <c r="Z7" s="14">
        <v>26</v>
      </c>
      <c r="AA7" s="14">
        <v>27</v>
      </c>
      <c r="AB7" s="14">
        <v>28</v>
      </c>
      <c r="AC7" s="14">
        <v>29</v>
      </c>
      <c r="AD7" s="14">
        <v>30</v>
      </c>
      <c r="AE7" s="14">
        <v>31</v>
      </c>
    </row>
    <row r="8" spans="1:31" s="17" customFormat="1" ht="18.7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16"/>
      <c r="X8" s="16"/>
      <c r="Y8" s="16"/>
      <c r="Z8" s="16"/>
      <c r="AA8" s="16"/>
      <c r="AB8" s="16"/>
      <c r="AC8" s="16"/>
      <c r="AD8" s="16"/>
      <c r="AE8" s="16"/>
    </row>
    <row r="9" spans="1:31" s="17" customFormat="1" ht="18.75">
      <c r="A9" s="19" t="s">
        <v>36</v>
      </c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</row>
    <row r="10" spans="1:31" s="18" customFormat="1" ht="48.75" customHeight="1">
      <c r="A10" s="30" t="s">
        <v>115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18" customFormat="1" ht="56.25">
      <c r="A11" s="5" t="s">
        <v>116</v>
      </c>
      <c r="B11" s="5"/>
      <c r="C11" s="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1"/>
    </row>
    <row r="12" spans="1:31" s="18" customFormat="1" ht="18.75">
      <c r="A12" s="4" t="s">
        <v>22</v>
      </c>
      <c r="B12" s="4"/>
      <c r="C12" s="3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1"/>
    </row>
    <row r="13" spans="1:31" s="18" customFormat="1" ht="77.25" customHeight="1">
      <c r="A13" s="45" t="s">
        <v>117</v>
      </c>
      <c r="B13" s="4"/>
      <c r="C13" s="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1"/>
    </row>
    <row r="14" spans="1:31" s="18" customFormat="1" ht="18.75">
      <c r="A14" s="5" t="s">
        <v>32</v>
      </c>
      <c r="B14" s="5">
        <f>B15+B16</f>
        <v>7910.6</v>
      </c>
      <c r="C14" s="2"/>
      <c r="D14" s="2"/>
      <c r="E14" s="2"/>
      <c r="F14" s="2"/>
      <c r="G14" s="2">
        <f>G15+G16</f>
        <v>0</v>
      </c>
      <c r="H14" s="2">
        <f aca="true" t="shared" si="0" ref="H14:AD14">H15+H16</f>
        <v>0</v>
      </c>
      <c r="I14" s="2">
        <f t="shared" si="0"/>
        <v>0</v>
      </c>
      <c r="J14" s="2">
        <f t="shared" si="0"/>
        <v>0</v>
      </c>
      <c r="K14" s="2">
        <f t="shared" si="0"/>
        <v>0</v>
      </c>
      <c r="L14" s="2">
        <f t="shared" si="0"/>
        <v>0</v>
      </c>
      <c r="M14" s="2">
        <f t="shared" si="0"/>
        <v>0</v>
      </c>
      <c r="N14" s="2">
        <f t="shared" si="0"/>
        <v>0</v>
      </c>
      <c r="O14" s="2">
        <f t="shared" si="0"/>
        <v>0</v>
      </c>
      <c r="P14" s="2">
        <f t="shared" si="0"/>
        <v>0</v>
      </c>
      <c r="Q14" s="2">
        <f t="shared" si="0"/>
        <v>2636.872</v>
      </c>
      <c r="R14" s="2">
        <f t="shared" si="0"/>
        <v>0</v>
      </c>
      <c r="S14" s="2">
        <f t="shared" si="0"/>
        <v>2636.872</v>
      </c>
      <c r="T14" s="2">
        <f t="shared" si="0"/>
        <v>0</v>
      </c>
      <c r="U14" s="2">
        <f t="shared" si="0"/>
        <v>2636.871</v>
      </c>
      <c r="V14" s="2">
        <f t="shared" si="0"/>
        <v>0</v>
      </c>
      <c r="W14" s="2">
        <f t="shared" si="0"/>
        <v>0</v>
      </c>
      <c r="X14" s="2">
        <f t="shared" si="0"/>
        <v>0</v>
      </c>
      <c r="Y14" s="2">
        <f t="shared" si="0"/>
        <v>0</v>
      </c>
      <c r="Z14" s="2">
        <f t="shared" si="0"/>
        <v>0</v>
      </c>
      <c r="AA14" s="2">
        <f t="shared" si="0"/>
        <v>0</v>
      </c>
      <c r="AB14" s="2">
        <f t="shared" si="0"/>
        <v>0</v>
      </c>
      <c r="AC14" s="2">
        <f t="shared" si="0"/>
        <v>0</v>
      </c>
      <c r="AD14" s="2">
        <f t="shared" si="0"/>
        <v>0</v>
      </c>
      <c r="AE14" s="21"/>
    </row>
    <row r="15" spans="1:31" s="18" customFormat="1" ht="18.75">
      <c r="A15" s="4" t="s">
        <v>24</v>
      </c>
      <c r="B15" s="4">
        <v>729.1</v>
      </c>
      <c r="C15" s="3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>
        <v>0</v>
      </c>
      <c r="R15" s="2"/>
      <c r="S15" s="2">
        <v>240.87</v>
      </c>
      <c r="T15" s="2"/>
      <c r="U15" s="2">
        <v>488.232</v>
      </c>
      <c r="V15" s="2"/>
      <c r="W15" s="2"/>
      <c r="X15" s="2"/>
      <c r="Y15" s="2"/>
      <c r="Z15" s="2"/>
      <c r="AA15" s="2"/>
      <c r="AB15" s="2"/>
      <c r="AC15" s="2"/>
      <c r="AD15" s="2"/>
      <c r="AE15" s="21"/>
    </row>
    <row r="16" spans="1:31" s="18" customFormat="1" ht="18.75">
      <c r="A16" s="4" t="s">
        <v>25</v>
      </c>
      <c r="B16" s="4">
        <v>7181.5</v>
      </c>
      <c r="C16" s="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>
        <v>2636.872</v>
      </c>
      <c r="R16" s="2"/>
      <c r="S16" s="2">
        <v>2396.002</v>
      </c>
      <c r="T16" s="2"/>
      <c r="U16" s="2">
        <v>2148.639</v>
      </c>
      <c r="V16" s="2"/>
      <c r="W16" s="2"/>
      <c r="X16" s="2"/>
      <c r="Y16" s="2"/>
      <c r="Z16" s="2"/>
      <c r="AA16" s="2"/>
      <c r="AB16" s="2"/>
      <c r="AC16" s="2"/>
      <c r="AD16" s="2"/>
      <c r="AE16" s="21"/>
    </row>
    <row r="17" spans="1:31" s="18" customFormat="1" ht="78.75" customHeight="1">
      <c r="A17" s="46" t="s">
        <v>118</v>
      </c>
      <c r="B17" s="22"/>
      <c r="C17" s="3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1"/>
    </row>
    <row r="18" spans="1:31" s="18" customFormat="1" ht="18.75">
      <c r="A18" s="5" t="s">
        <v>32</v>
      </c>
      <c r="B18" s="5">
        <f>B19</f>
        <v>256.6</v>
      </c>
      <c r="C18" s="2"/>
      <c r="D18" s="2"/>
      <c r="E18" s="2"/>
      <c r="F18" s="2"/>
      <c r="G18" s="2">
        <f>G19</f>
        <v>0</v>
      </c>
      <c r="H18" s="2">
        <f aca="true" t="shared" si="1" ref="H18:AD18">H19</f>
        <v>0</v>
      </c>
      <c r="I18" s="2">
        <f t="shared" si="1"/>
        <v>28.508</v>
      </c>
      <c r="J18" s="2">
        <f t="shared" si="1"/>
        <v>0</v>
      </c>
      <c r="K18" s="2">
        <f t="shared" si="1"/>
        <v>28.508</v>
      </c>
      <c r="L18" s="2">
        <f t="shared" si="1"/>
        <v>0</v>
      </c>
      <c r="M18" s="2">
        <f t="shared" si="1"/>
        <v>28.507</v>
      </c>
      <c r="N18" s="2">
        <f t="shared" si="1"/>
        <v>0</v>
      </c>
      <c r="O18" s="2">
        <f t="shared" si="1"/>
        <v>28.506</v>
      </c>
      <c r="P18" s="2">
        <f t="shared" si="1"/>
        <v>0</v>
      </c>
      <c r="Q18" s="2">
        <f t="shared" si="1"/>
        <v>28.506</v>
      </c>
      <c r="R18" s="2">
        <f t="shared" si="1"/>
        <v>0</v>
      </c>
      <c r="S18" s="2">
        <f t="shared" si="1"/>
        <v>0</v>
      </c>
      <c r="T18" s="2">
        <f t="shared" si="1"/>
        <v>0</v>
      </c>
      <c r="U18" s="2">
        <f t="shared" si="1"/>
        <v>0</v>
      </c>
      <c r="V18" s="2">
        <f t="shared" si="1"/>
        <v>0</v>
      </c>
      <c r="W18" s="2">
        <f t="shared" si="1"/>
        <v>28.507</v>
      </c>
      <c r="X18" s="2">
        <f t="shared" si="1"/>
        <v>0</v>
      </c>
      <c r="Y18" s="2">
        <f t="shared" si="1"/>
        <v>28.507</v>
      </c>
      <c r="Z18" s="2">
        <f t="shared" si="1"/>
        <v>0</v>
      </c>
      <c r="AA18" s="2">
        <f t="shared" si="1"/>
        <v>28.506</v>
      </c>
      <c r="AB18" s="2">
        <f t="shared" si="1"/>
        <v>0</v>
      </c>
      <c r="AC18" s="2">
        <f t="shared" si="1"/>
        <v>28.506</v>
      </c>
      <c r="AD18" s="2">
        <f t="shared" si="1"/>
        <v>0</v>
      </c>
      <c r="AE18" s="21"/>
    </row>
    <row r="19" spans="1:31" s="18" customFormat="1" ht="18.75">
      <c r="A19" s="4" t="s">
        <v>25</v>
      </c>
      <c r="B19" s="4">
        <v>256.6</v>
      </c>
      <c r="C19" s="3"/>
      <c r="D19" s="2"/>
      <c r="E19" s="2"/>
      <c r="F19" s="2"/>
      <c r="G19" s="2"/>
      <c r="H19" s="2"/>
      <c r="I19" s="2">
        <v>28.508</v>
      </c>
      <c r="J19" s="2"/>
      <c r="K19" s="2">
        <v>28.508</v>
      </c>
      <c r="L19" s="2"/>
      <c r="M19" s="2">
        <v>28.507</v>
      </c>
      <c r="N19" s="2"/>
      <c r="O19" s="2">
        <v>28.506</v>
      </c>
      <c r="P19" s="2"/>
      <c r="Q19" s="2">
        <v>28.506</v>
      </c>
      <c r="R19" s="2"/>
      <c r="S19" s="2"/>
      <c r="T19" s="2"/>
      <c r="U19" s="2"/>
      <c r="V19" s="2"/>
      <c r="W19" s="2">
        <v>28.507</v>
      </c>
      <c r="X19" s="2"/>
      <c r="Y19" s="2">
        <v>28.507</v>
      </c>
      <c r="Z19" s="2"/>
      <c r="AA19" s="2">
        <v>28.506</v>
      </c>
      <c r="AB19" s="2"/>
      <c r="AC19" s="2">
        <v>28.506</v>
      </c>
      <c r="AD19" s="2"/>
      <c r="AE19" s="21"/>
    </row>
    <row r="20" spans="1:31" s="18" customFormat="1" ht="75">
      <c r="A20" s="45" t="s">
        <v>119</v>
      </c>
      <c r="B20" s="4"/>
      <c r="C20" s="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1"/>
    </row>
    <row r="21" spans="1:31" s="18" customFormat="1" ht="18.75">
      <c r="A21" s="5" t="s">
        <v>32</v>
      </c>
      <c r="B21" s="5">
        <f>B22+B23</f>
        <v>792</v>
      </c>
      <c r="C21" s="2"/>
      <c r="D21" s="2"/>
      <c r="E21" s="2"/>
      <c r="F21" s="2"/>
      <c r="G21" s="2">
        <f aca="true" t="shared" si="2" ref="G21:AD21">G22+G23</f>
        <v>0</v>
      </c>
      <c r="H21" s="2">
        <f t="shared" si="2"/>
        <v>0</v>
      </c>
      <c r="I21" s="2">
        <f t="shared" si="2"/>
        <v>74.419</v>
      </c>
      <c r="J21" s="2">
        <f t="shared" si="2"/>
        <v>0</v>
      </c>
      <c r="K21" s="2">
        <f t="shared" si="2"/>
        <v>65.506</v>
      </c>
      <c r="L21" s="2">
        <f t="shared" si="2"/>
        <v>0</v>
      </c>
      <c r="M21" s="2">
        <f t="shared" si="2"/>
        <v>25.915</v>
      </c>
      <c r="N21" s="2">
        <f t="shared" si="2"/>
        <v>0</v>
      </c>
      <c r="O21" s="2">
        <f t="shared" si="2"/>
        <v>125.234</v>
      </c>
      <c r="P21" s="2">
        <f t="shared" si="2"/>
        <v>0</v>
      </c>
      <c r="Q21" s="2">
        <f t="shared" si="2"/>
        <v>125.232</v>
      </c>
      <c r="R21" s="2">
        <f t="shared" si="2"/>
        <v>0</v>
      </c>
      <c r="S21" s="2">
        <f t="shared" si="2"/>
        <v>125.232</v>
      </c>
      <c r="T21" s="2">
        <f t="shared" si="2"/>
        <v>0</v>
      </c>
      <c r="U21" s="2">
        <f t="shared" si="2"/>
        <v>62.62</v>
      </c>
      <c r="V21" s="2">
        <f t="shared" si="2"/>
        <v>0</v>
      </c>
      <c r="W21" s="2">
        <f t="shared" si="2"/>
        <v>62.62</v>
      </c>
      <c r="X21" s="2">
        <f t="shared" si="2"/>
        <v>0</v>
      </c>
      <c r="Y21" s="2">
        <f t="shared" si="2"/>
        <v>62.62</v>
      </c>
      <c r="Z21" s="2">
        <f t="shared" si="2"/>
        <v>0</v>
      </c>
      <c r="AA21" s="2">
        <f t="shared" si="2"/>
        <v>62.62</v>
      </c>
      <c r="AB21" s="2">
        <f t="shared" si="2"/>
        <v>0</v>
      </c>
      <c r="AC21" s="2">
        <f t="shared" si="2"/>
        <v>0</v>
      </c>
      <c r="AD21" s="2">
        <f t="shared" si="2"/>
        <v>0</v>
      </c>
      <c r="AE21" s="21"/>
    </row>
    <row r="22" spans="1:31" s="18" customFormat="1" ht="18.75">
      <c r="A22" s="4" t="s">
        <v>24</v>
      </c>
      <c r="B22" s="4">
        <v>626.2</v>
      </c>
      <c r="C22" s="3"/>
      <c r="D22" s="2"/>
      <c r="E22" s="2"/>
      <c r="F22" s="2"/>
      <c r="G22" s="2"/>
      <c r="H22" s="2"/>
      <c r="I22" s="2">
        <v>0</v>
      </c>
      <c r="J22" s="2"/>
      <c r="K22" s="2">
        <v>0</v>
      </c>
      <c r="L22" s="2"/>
      <c r="M22" s="2">
        <v>0</v>
      </c>
      <c r="N22" s="2"/>
      <c r="O22" s="2">
        <v>125.234</v>
      </c>
      <c r="P22" s="2"/>
      <c r="Q22" s="2">
        <v>125.232</v>
      </c>
      <c r="R22" s="2"/>
      <c r="S22" s="2">
        <v>125.232</v>
      </c>
      <c r="T22" s="2"/>
      <c r="U22" s="2">
        <v>62.62</v>
      </c>
      <c r="V22" s="2"/>
      <c r="W22" s="2">
        <v>62.62</v>
      </c>
      <c r="X22" s="2"/>
      <c r="Y22" s="2">
        <v>62.62</v>
      </c>
      <c r="Z22" s="2"/>
      <c r="AA22" s="2">
        <v>62.62</v>
      </c>
      <c r="AB22" s="2"/>
      <c r="AC22" s="2"/>
      <c r="AD22" s="2"/>
      <c r="AE22" s="21"/>
    </row>
    <row r="23" spans="1:31" s="18" customFormat="1" ht="18.75">
      <c r="A23" s="4" t="s">
        <v>25</v>
      </c>
      <c r="B23" s="4">
        <v>165.8</v>
      </c>
      <c r="C23" s="3"/>
      <c r="D23" s="2"/>
      <c r="E23" s="2"/>
      <c r="F23" s="2"/>
      <c r="G23" s="2"/>
      <c r="H23" s="2"/>
      <c r="I23" s="2">
        <v>74.419</v>
      </c>
      <c r="J23" s="2"/>
      <c r="K23" s="2">
        <v>65.506</v>
      </c>
      <c r="L23" s="2"/>
      <c r="M23" s="2">
        <v>25.915</v>
      </c>
      <c r="N23" s="2"/>
      <c r="O23" s="2">
        <v>0</v>
      </c>
      <c r="P23" s="2"/>
      <c r="Q23" s="2">
        <v>0</v>
      </c>
      <c r="R23" s="2"/>
      <c r="S23" s="2">
        <v>0</v>
      </c>
      <c r="T23" s="2"/>
      <c r="U23" s="2">
        <v>0</v>
      </c>
      <c r="V23" s="2"/>
      <c r="W23" s="2">
        <v>0</v>
      </c>
      <c r="X23" s="2"/>
      <c r="Y23" s="2">
        <v>0</v>
      </c>
      <c r="Z23" s="2"/>
      <c r="AA23" s="2">
        <v>0</v>
      </c>
      <c r="AB23" s="2"/>
      <c r="AC23" s="2"/>
      <c r="AD23" s="2"/>
      <c r="AE23" s="21"/>
    </row>
    <row r="24" spans="1:31" s="18" customFormat="1" ht="96" customHeight="1">
      <c r="A24" s="45" t="s">
        <v>120</v>
      </c>
      <c r="B24" s="4"/>
      <c r="C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1"/>
    </row>
    <row r="25" spans="1:31" s="18" customFormat="1" ht="18.75">
      <c r="A25" s="5" t="s">
        <v>32</v>
      </c>
      <c r="B25" s="5">
        <f>B26</f>
        <v>505.1</v>
      </c>
      <c r="C25" s="2"/>
      <c r="D25" s="2"/>
      <c r="E25" s="2"/>
      <c r="F25" s="2"/>
      <c r="G25" s="2">
        <f aca="true" t="shared" si="3" ref="G25:AD25">G26</f>
        <v>0</v>
      </c>
      <c r="H25" s="2">
        <f t="shared" si="3"/>
        <v>0</v>
      </c>
      <c r="I25" s="2">
        <f t="shared" si="3"/>
        <v>291.57</v>
      </c>
      <c r="J25" s="2">
        <f t="shared" si="3"/>
        <v>0</v>
      </c>
      <c r="K25" s="2">
        <f t="shared" si="3"/>
        <v>0</v>
      </c>
      <c r="L25" s="2">
        <f t="shared" si="3"/>
        <v>0</v>
      </c>
      <c r="M25" s="2">
        <f t="shared" si="3"/>
        <v>33.168</v>
      </c>
      <c r="N25" s="2">
        <f t="shared" si="3"/>
        <v>0</v>
      </c>
      <c r="O25" s="2">
        <f t="shared" si="3"/>
        <v>123.152</v>
      </c>
      <c r="P25" s="2">
        <f t="shared" si="3"/>
        <v>0</v>
      </c>
      <c r="Q25" s="2">
        <f t="shared" si="3"/>
        <v>7.568</v>
      </c>
      <c r="R25" s="2">
        <f t="shared" si="3"/>
        <v>0</v>
      </c>
      <c r="S25" s="2">
        <f t="shared" si="3"/>
        <v>34.5</v>
      </c>
      <c r="T25" s="2">
        <f t="shared" si="3"/>
        <v>0</v>
      </c>
      <c r="U25" s="2">
        <f t="shared" si="3"/>
        <v>7.57</v>
      </c>
      <c r="V25" s="2">
        <f t="shared" si="3"/>
        <v>0</v>
      </c>
      <c r="W25" s="2">
        <f t="shared" si="3"/>
        <v>0</v>
      </c>
      <c r="X25" s="2">
        <f t="shared" si="3"/>
        <v>0</v>
      </c>
      <c r="Y25" s="2">
        <f t="shared" si="3"/>
        <v>7.568</v>
      </c>
      <c r="Z25" s="2">
        <f t="shared" si="3"/>
        <v>0</v>
      </c>
      <c r="AA25" s="2">
        <f t="shared" si="3"/>
        <v>0</v>
      </c>
      <c r="AB25" s="2">
        <f t="shared" si="3"/>
        <v>0</v>
      </c>
      <c r="AC25" s="2">
        <f t="shared" si="3"/>
        <v>0</v>
      </c>
      <c r="AD25" s="2">
        <f t="shared" si="3"/>
        <v>0</v>
      </c>
      <c r="AE25" s="21"/>
    </row>
    <row r="26" spans="1:31" s="18" customFormat="1" ht="18.75">
      <c r="A26" s="4" t="s">
        <v>25</v>
      </c>
      <c r="B26" s="4">
        <v>505.1</v>
      </c>
      <c r="C26" s="3"/>
      <c r="D26" s="2"/>
      <c r="E26" s="2"/>
      <c r="F26" s="2"/>
      <c r="G26" s="2"/>
      <c r="H26" s="2"/>
      <c r="I26" s="2">
        <v>291.57</v>
      </c>
      <c r="J26" s="2"/>
      <c r="K26" s="2"/>
      <c r="L26" s="2"/>
      <c r="M26" s="2">
        <v>33.168</v>
      </c>
      <c r="N26" s="2"/>
      <c r="O26" s="2">
        <v>123.152</v>
      </c>
      <c r="P26" s="2"/>
      <c r="Q26" s="2">
        <v>7.568</v>
      </c>
      <c r="R26" s="2"/>
      <c r="S26" s="2">
        <v>34.5</v>
      </c>
      <c r="T26" s="2"/>
      <c r="U26" s="2">
        <v>7.57</v>
      </c>
      <c r="V26" s="2"/>
      <c r="W26" s="2"/>
      <c r="X26" s="2"/>
      <c r="Y26" s="2">
        <v>7.568</v>
      </c>
      <c r="Z26" s="2"/>
      <c r="AA26" s="2"/>
      <c r="AB26" s="2"/>
      <c r="AC26" s="2"/>
      <c r="AD26" s="2"/>
      <c r="AE26" s="21"/>
    </row>
    <row r="27" spans="1:31" s="18" customFormat="1" ht="37.5">
      <c r="A27" s="45" t="s">
        <v>121</v>
      </c>
      <c r="B27" s="4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1"/>
    </row>
    <row r="28" spans="1:31" s="18" customFormat="1" ht="18.75">
      <c r="A28" s="5" t="s">
        <v>32</v>
      </c>
      <c r="B28" s="5">
        <f>B29</f>
        <v>1054.1</v>
      </c>
      <c r="C28" s="2"/>
      <c r="D28" s="2"/>
      <c r="E28" s="2"/>
      <c r="F28" s="2"/>
      <c r="G28" s="2">
        <f aca="true" t="shared" si="4" ref="G28:AD28">G29</f>
        <v>0</v>
      </c>
      <c r="H28" s="2">
        <f t="shared" si="4"/>
        <v>0</v>
      </c>
      <c r="I28" s="2">
        <f t="shared" si="4"/>
        <v>0</v>
      </c>
      <c r="J28" s="2">
        <f t="shared" si="4"/>
        <v>0</v>
      </c>
      <c r="K28" s="2">
        <f t="shared" si="4"/>
        <v>0</v>
      </c>
      <c r="L28" s="2">
        <f t="shared" si="4"/>
        <v>0</v>
      </c>
      <c r="M28" s="2">
        <f t="shared" si="4"/>
        <v>0</v>
      </c>
      <c r="N28" s="2">
        <f t="shared" si="4"/>
        <v>0</v>
      </c>
      <c r="O28" s="2">
        <f t="shared" si="4"/>
        <v>0</v>
      </c>
      <c r="P28" s="2">
        <f t="shared" si="4"/>
        <v>0</v>
      </c>
      <c r="Q28" s="2">
        <f t="shared" si="4"/>
        <v>351.382</v>
      </c>
      <c r="R28" s="2">
        <f t="shared" si="4"/>
        <v>0</v>
      </c>
      <c r="S28" s="2">
        <f t="shared" si="4"/>
        <v>351.381</v>
      </c>
      <c r="T28" s="2">
        <f t="shared" si="4"/>
        <v>0</v>
      </c>
      <c r="U28" s="2">
        <f t="shared" si="4"/>
        <v>351.381</v>
      </c>
      <c r="V28" s="2">
        <f t="shared" si="4"/>
        <v>0</v>
      </c>
      <c r="W28" s="2">
        <f t="shared" si="4"/>
        <v>0</v>
      </c>
      <c r="X28" s="2">
        <f t="shared" si="4"/>
        <v>0</v>
      </c>
      <c r="Y28" s="2">
        <f t="shared" si="4"/>
        <v>0</v>
      </c>
      <c r="Z28" s="2">
        <f t="shared" si="4"/>
        <v>0</v>
      </c>
      <c r="AA28" s="2">
        <f t="shared" si="4"/>
        <v>0</v>
      </c>
      <c r="AB28" s="2">
        <f t="shared" si="4"/>
        <v>0</v>
      </c>
      <c r="AC28" s="2">
        <f t="shared" si="4"/>
        <v>0</v>
      </c>
      <c r="AD28" s="2">
        <f t="shared" si="4"/>
        <v>0</v>
      </c>
      <c r="AE28" s="21"/>
    </row>
    <row r="29" spans="1:31" s="18" customFormat="1" ht="18.75">
      <c r="A29" s="4" t="s">
        <v>25</v>
      </c>
      <c r="B29" s="4">
        <v>1054.1</v>
      </c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>
        <v>351.382</v>
      </c>
      <c r="R29" s="2"/>
      <c r="S29" s="2">
        <v>351.381</v>
      </c>
      <c r="T29" s="2"/>
      <c r="U29" s="2">
        <v>351.381</v>
      </c>
      <c r="V29" s="2"/>
      <c r="W29" s="2"/>
      <c r="X29" s="2"/>
      <c r="Y29" s="2"/>
      <c r="Z29" s="2"/>
      <c r="AA29" s="2"/>
      <c r="AB29" s="2"/>
      <c r="AC29" s="2"/>
      <c r="AD29" s="2"/>
      <c r="AE29" s="21"/>
    </row>
    <row r="30" spans="1:31" s="18" customFormat="1" ht="19.5" customHeight="1">
      <c r="A30" s="45" t="s">
        <v>122</v>
      </c>
      <c r="B30" s="4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1"/>
    </row>
    <row r="31" spans="1:31" s="18" customFormat="1" ht="18.75">
      <c r="A31" s="5" t="s">
        <v>32</v>
      </c>
      <c r="B31" s="5">
        <f>B32</f>
        <v>35</v>
      </c>
      <c r="C31" s="2"/>
      <c r="D31" s="2"/>
      <c r="E31" s="2"/>
      <c r="F31" s="2"/>
      <c r="G31" s="2">
        <f aca="true" t="shared" si="5" ref="G31:AD31">G32</f>
        <v>0</v>
      </c>
      <c r="H31" s="2">
        <f t="shared" si="5"/>
        <v>0</v>
      </c>
      <c r="I31" s="2">
        <f t="shared" si="5"/>
        <v>0</v>
      </c>
      <c r="J31" s="2">
        <f t="shared" si="5"/>
        <v>0</v>
      </c>
      <c r="K31" s="2">
        <f t="shared" si="5"/>
        <v>0</v>
      </c>
      <c r="L31" s="2">
        <f t="shared" si="5"/>
        <v>0</v>
      </c>
      <c r="M31" s="2">
        <f t="shared" si="5"/>
        <v>0</v>
      </c>
      <c r="N31" s="2">
        <f t="shared" si="5"/>
        <v>0</v>
      </c>
      <c r="O31" s="2">
        <f t="shared" si="5"/>
        <v>35</v>
      </c>
      <c r="P31" s="2">
        <f t="shared" si="5"/>
        <v>0</v>
      </c>
      <c r="Q31" s="2">
        <f t="shared" si="5"/>
        <v>0</v>
      </c>
      <c r="R31" s="2">
        <f t="shared" si="5"/>
        <v>0</v>
      </c>
      <c r="S31" s="2">
        <f t="shared" si="5"/>
        <v>0</v>
      </c>
      <c r="T31" s="2">
        <f t="shared" si="5"/>
        <v>0</v>
      </c>
      <c r="U31" s="2">
        <f t="shared" si="5"/>
        <v>0</v>
      </c>
      <c r="V31" s="2">
        <f t="shared" si="5"/>
        <v>0</v>
      </c>
      <c r="W31" s="2">
        <f t="shared" si="5"/>
        <v>0</v>
      </c>
      <c r="X31" s="2">
        <f t="shared" si="5"/>
        <v>0</v>
      </c>
      <c r="Y31" s="2">
        <f t="shared" si="5"/>
        <v>0</v>
      </c>
      <c r="Z31" s="2">
        <f t="shared" si="5"/>
        <v>0</v>
      </c>
      <c r="AA31" s="2">
        <f t="shared" si="5"/>
        <v>0</v>
      </c>
      <c r="AB31" s="2">
        <f t="shared" si="5"/>
        <v>0</v>
      </c>
      <c r="AC31" s="2">
        <f t="shared" si="5"/>
        <v>0</v>
      </c>
      <c r="AD31" s="2">
        <f t="shared" si="5"/>
        <v>0</v>
      </c>
      <c r="AE31" s="21"/>
    </row>
    <row r="32" spans="1:31" s="18" customFormat="1" ht="18.75">
      <c r="A32" s="4" t="s">
        <v>25</v>
      </c>
      <c r="B32" s="4">
        <v>35</v>
      </c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>
        <v>35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1"/>
    </row>
    <row r="33" spans="1:31" s="18" customFormat="1" ht="56.25">
      <c r="A33" s="45" t="s">
        <v>123</v>
      </c>
      <c r="B33" s="4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1"/>
    </row>
    <row r="34" spans="1:31" s="18" customFormat="1" ht="18.75">
      <c r="A34" s="5" t="s">
        <v>32</v>
      </c>
      <c r="B34" s="5">
        <f>B35</f>
        <v>0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1"/>
    </row>
    <row r="35" spans="1:31" s="18" customFormat="1" ht="18.75">
      <c r="A35" s="4" t="s">
        <v>25</v>
      </c>
      <c r="B35" s="4">
        <v>0</v>
      </c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1"/>
    </row>
    <row r="36" spans="1:31" s="18" customFormat="1" ht="56.25">
      <c r="A36" s="5" t="s">
        <v>124</v>
      </c>
      <c r="B36" s="5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1"/>
    </row>
    <row r="37" spans="1:31" s="18" customFormat="1" ht="18.75">
      <c r="A37" s="4" t="s">
        <v>22</v>
      </c>
      <c r="B37" s="4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1"/>
    </row>
    <row r="38" spans="1:31" s="18" customFormat="1" ht="74.25" customHeight="1">
      <c r="A38" s="45" t="s">
        <v>125</v>
      </c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1"/>
    </row>
    <row r="39" spans="1:31" s="18" customFormat="1" ht="18.75">
      <c r="A39" s="5" t="s">
        <v>32</v>
      </c>
      <c r="B39" s="5">
        <f>B40</f>
        <v>8524.3</v>
      </c>
      <c r="C39" s="2"/>
      <c r="D39" s="2"/>
      <c r="E39" s="2"/>
      <c r="F39" s="2"/>
      <c r="G39" s="2">
        <f>G40</f>
        <v>0</v>
      </c>
      <c r="H39" s="2">
        <f aca="true" t="shared" si="6" ref="H39:AD39">H40</f>
        <v>0</v>
      </c>
      <c r="I39" s="2">
        <f t="shared" si="6"/>
        <v>613</v>
      </c>
      <c r="J39" s="2">
        <f t="shared" si="6"/>
        <v>0</v>
      </c>
      <c r="K39" s="2">
        <f t="shared" si="6"/>
        <v>613</v>
      </c>
      <c r="L39" s="2">
        <f t="shared" si="6"/>
        <v>0</v>
      </c>
      <c r="M39" s="2">
        <f t="shared" si="6"/>
        <v>613</v>
      </c>
      <c r="N39" s="2">
        <f t="shared" si="6"/>
        <v>0</v>
      </c>
      <c r="O39" s="2">
        <f t="shared" si="6"/>
        <v>767.5</v>
      </c>
      <c r="P39" s="2">
        <f t="shared" si="6"/>
        <v>0</v>
      </c>
      <c r="Q39" s="2">
        <f t="shared" si="6"/>
        <v>809.6</v>
      </c>
      <c r="R39" s="2">
        <f t="shared" si="6"/>
        <v>0</v>
      </c>
      <c r="S39" s="2">
        <f t="shared" si="6"/>
        <v>746.5</v>
      </c>
      <c r="T39" s="2">
        <f t="shared" si="6"/>
        <v>0</v>
      </c>
      <c r="U39" s="2">
        <f t="shared" si="6"/>
        <v>760.5</v>
      </c>
      <c r="V39" s="2">
        <f t="shared" si="6"/>
        <v>0</v>
      </c>
      <c r="W39" s="2">
        <f t="shared" si="6"/>
        <v>882.1</v>
      </c>
      <c r="X39" s="2">
        <f t="shared" si="6"/>
        <v>0</v>
      </c>
      <c r="Y39" s="2">
        <f t="shared" si="6"/>
        <v>837.6</v>
      </c>
      <c r="Z39" s="2">
        <f t="shared" si="6"/>
        <v>0</v>
      </c>
      <c r="AA39" s="2">
        <f t="shared" si="6"/>
        <v>627.1</v>
      </c>
      <c r="AB39" s="2">
        <f t="shared" si="6"/>
        <v>0</v>
      </c>
      <c r="AC39" s="2">
        <f t="shared" si="6"/>
        <v>1254.4</v>
      </c>
      <c r="AD39" s="2">
        <f t="shared" si="6"/>
        <v>0</v>
      </c>
      <c r="AE39" s="21"/>
    </row>
    <row r="40" spans="1:31" s="17" customFormat="1" ht="18.75">
      <c r="A40" s="4" t="s">
        <v>25</v>
      </c>
      <c r="B40" s="4">
        <v>8524.3</v>
      </c>
      <c r="C40" s="3"/>
      <c r="D40" s="3"/>
      <c r="E40" s="3"/>
      <c r="F40" s="3"/>
      <c r="G40" s="3">
        <v>0</v>
      </c>
      <c r="H40" s="3"/>
      <c r="I40" s="3">
        <v>613</v>
      </c>
      <c r="J40" s="3"/>
      <c r="K40" s="3">
        <v>613</v>
      </c>
      <c r="L40" s="3"/>
      <c r="M40" s="3">
        <v>613</v>
      </c>
      <c r="N40" s="3"/>
      <c r="O40" s="3">
        <v>767.5</v>
      </c>
      <c r="P40" s="3"/>
      <c r="Q40" s="3">
        <v>809.6</v>
      </c>
      <c r="R40" s="3"/>
      <c r="S40" s="3">
        <v>746.5</v>
      </c>
      <c r="T40" s="3"/>
      <c r="U40" s="3">
        <v>760.5</v>
      </c>
      <c r="V40" s="3"/>
      <c r="W40" s="3">
        <v>882.1</v>
      </c>
      <c r="X40" s="3"/>
      <c r="Y40" s="3">
        <v>837.6</v>
      </c>
      <c r="Z40" s="3"/>
      <c r="AA40" s="3">
        <v>627.1</v>
      </c>
      <c r="AB40" s="3"/>
      <c r="AC40" s="3">
        <v>1254.4</v>
      </c>
      <c r="AD40" s="3"/>
      <c r="AE40" s="48"/>
    </row>
    <row r="41" spans="1:31" s="18" customFormat="1" ht="55.5" customHeight="1">
      <c r="A41" s="30" t="s">
        <v>126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18" customFormat="1" ht="78" customHeight="1">
      <c r="A42" s="47" t="s">
        <v>127</v>
      </c>
      <c r="B42" s="5"/>
      <c r="C42" s="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1"/>
    </row>
    <row r="43" spans="1:31" s="18" customFormat="1" ht="18.75">
      <c r="A43" s="4" t="s">
        <v>22</v>
      </c>
      <c r="B43" s="4"/>
      <c r="C43" s="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1"/>
    </row>
    <row r="44" spans="1:31" s="18" customFormat="1" ht="75">
      <c r="A44" s="45" t="s">
        <v>128</v>
      </c>
      <c r="B44" s="4"/>
      <c r="C44" s="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1"/>
    </row>
    <row r="45" spans="1:31" s="18" customFormat="1" ht="18.75">
      <c r="A45" s="5" t="s">
        <v>32</v>
      </c>
      <c r="B45" s="5">
        <f>B46</f>
        <v>50</v>
      </c>
      <c r="C45" s="2"/>
      <c r="D45" s="2"/>
      <c r="E45" s="2"/>
      <c r="F45" s="2"/>
      <c r="G45" s="2">
        <f aca="true" t="shared" si="7" ref="G45:AD45">G46</f>
        <v>0</v>
      </c>
      <c r="H45" s="2">
        <f t="shared" si="7"/>
        <v>0</v>
      </c>
      <c r="I45" s="2">
        <f t="shared" si="7"/>
        <v>0</v>
      </c>
      <c r="J45" s="2">
        <f t="shared" si="7"/>
        <v>0</v>
      </c>
      <c r="K45" s="2">
        <f t="shared" si="7"/>
        <v>0</v>
      </c>
      <c r="L45" s="2">
        <f t="shared" si="7"/>
        <v>0</v>
      </c>
      <c r="M45" s="2">
        <f t="shared" si="7"/>
        <v>0</v>
      </c>
      <c r="N45" s="2">
        <f t="shared" si="7"/>
        <v>0</v>
      </c>
      <c r="O45" s="2">
        <f t="shared" si="7"/>
        <v>0</v>
      </c>
      <c r="P45" s="2">
        <f t="shared" si="7"/>
        <v>0</v>
      </c>
      <c r="Q45" s="2">
        <f t="shared" si="7"/>
        <v>0</v>
      </c>
      <c r="R45" s="2">
        <f t="shared" si="7"/>
        <v>0</v>
      </c>
      <c r="S45" s="2">
        <f t="shared" si="7"/>
        <v>0</v>
      </c>
      <c r="T45" s="2">
        <f t="shared" si="7"/>
        <v>0</v>
      </c>
      <c r="U45" s="2">
        <f t="shared" si="7"/>
        <v>0</v>
      </c>
      <c r="V45" s="2">
        <f t="shared" si="7"/>
        <v>0</v>
      </c>
      <c r="W45" s="2">
        <f t="shared" si="7"/>
        <v>0</v>
      </c>
      <c r="X45" s="2">
        <f t="shared" si="7"/>
        <v>0</v>
      </c>
      <c r="Y45" s="2">
        <f t="shared" si="7"/>
        <v>50</v>
      </c>
      <c r="Z45" s="2">
        <f t="shared" si="7"/>
        <v>0</v>
      </c>
      <c r="AA45" s="2">
        <f t="shared" si="7"/>
        <v>0</v>
      </c>
      <c r="AB45" s="2">
        <f t="shared" si="7"/>
        <v>0</v>
      </c>
      <c r="AC45" s="2">
        <f t="shared" si="7"/>
        <v>0</v>
      </c>
      <c r="AD45" s="2">
        <f t="shared" si="7"/>
        <v>0</v>
      </c>
      <c r="AE45" s="21"/>
    </row>
    <row r="46" spans="1:31" s="18" customFormat="1" ht="18.75">
      <c r="A46" s="4" t="s">
        <v>24</v>
      </c>
      <c r="B46" s="4">
        <v>50</v>
      </c>
      <c r="C46" s="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>
        <v>50</v>
      </c>
      <c r="Z46" s="2"/>
      <c r="AA46" s="2"/>
      <c r="AB46" s="2"/>
      <c r="AC46" s="2"/>
      <c r="AD46" s="2"/>
      <c r="AE46" s="21"/>
    </row>
    <row r="47" spans="1:31" s="18" customFormat="1" ht="40.5" customHeight="1">
      <c r="A47" s="30" t="s">
        <v>129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</row>
    <row r="48" spans="1:31" s="18" customFormat="1" ht="75.75" customHeight="1">
      <c r="A48" s="47" t="s">
        <v>130</v>
      </c>
      <c r="B48" s="5"/>
      <c r="C48" s="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1"/>
    </row>
    <row r="49" spans="1:31" s="18" customFormat="1" ht="18.75">
      <c r="A49" s="4" t="s">
        <v>22</v>
      </c>
      <c r="B49" s="4"/>
      <c r="C49" s="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1"/>
    </row>
    <row r="50" spans="1:31" s="18" customFormat="1" ht="75.75" customHeight="1">
      <c r="A50" s="45" t="s">
        <v>131</v>
      </c>
      <c r="B50" s="4"/>
      <c r="C50" s="3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1"/>
    </row>
    <row r="51" spans="1:31" s="18" customFormat="1" ht="18.75">
      <c r="A51" s="5" t="s">
        <v>32</v>
      </c>
      <c r="B51" s="5">
        <f>B52</f>
        <v>0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1"/>
    </row>
    <row r="52" spans="1:31" s="18" customFormat="1" ht="18.75">
      <c r="A52" s="4" t="s">
        <v>25</v>
      </c>
      <c r="B52" s="4">
        <v>0</v>
      </c>
      <c r="C52" s="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1"/>
    </row>
    <row r="53" spans="1:31" s="18" customFormat="1" ht="114.75" customHeight="1">
      <c r="A53" s="45" t="s">
        <v>132</v>
      </c>
      <c r="B53" s="4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1"/>
    </row>
    <row r="54" spans="1:31" s="18" customFormat="1" ht="18.75">
      <c r="A54" s="5" t="s">
        <v>32</v>
      </c>
      <c r="B54" s="5">
        <f>B55</f>
        <v>10</v>
      </c>
      <c r="C54" s="2"/>
      <c r="D54" s="2"/>
      <c r="E54" s="2"/>
      <c r="F54" s="2"/>
      <c r="G54" s="2">
        <f aca="true" t="shared" si="8" ref="G54:AD54">G55</f>
        <v>0</v>
      </c>
      <c r="H54" s="2">
        <f t="shared" si="8"/>
        <v>0</v>
      </c>
      <c r="I54" s="2">
        <f t="shared" si="8"/>
        <v>0</v>
      </c>
      <c r="J54" s="2">
        <f t="shared" si="8"/>
        <v>0</v>
      </c>
      <c r="K54" s="2">
        <f t="shared" si="8"/>
        <v>0</v>
      </c>
      <c r="L54" s="2">
        <f t="shared" si="8"/>
        <v>0</v>
      </c>
      <c r="M54" s="2">
        <f t="shared" si="8"/>
        <v>10</v>
      </c>
      <c r="N54" s="2">
        <f t="shared" si="8"/>
        <v>0</v>
      </c>
      <c r="O54" s="2">
        <f t="shared" si="8"/>
        <v>0</v>
      </c>
      <c r="P54" s="2">
        <f t="shared" si="8"/>
        <v>0</v>
      </c>
      <c r="Q54" s="2">
        <f t="shared" si="8"/>
        <v>0</v>
      </c>
      <c r="R54" s="2">
        <f t="shared" si="8"/>
        <v>0</v>
      </c>
      <c r="S54" s="2">
        <f t="shared" si="8"/>
        <v>0</v>
      </c>
      <c r="T54" s="2">
        <f t="shared" si="8"/>
        <v>0</v>
      </c>
      <c r="U54" s="2">
        <f t="shared" si="8"/>
        <v>0</v>
      </c>
      <c r="V54" s="2">
        <f t="shared" si="8"/>
        <v>0</v>
      </c>
      <c r="W54" s="2">
        <f t="shared" si="8"/>
        <v>0</v>
      </c>
      <c r="X54" s="2">
        <f t="shared" si="8"/>
        <v>0</v>
      </c>
      <c r="Y54" s="2">
        <f t="shared" si="8"/>
        <v>0</v>
      </c>
      <c r="Z54" s="2">
        <f t="shared" si="8"/>
        <v>0</v>
      </c>
      <c r="AA54" s="2">
        <f t="shared" si="8"/>
        <v>0</v>
      </c>
      <c r="AB54" s="2">
        <f t="shared" si="8"/>
        <v>0</v>
      </c>
      <c r="AC54" s="2">
        <f t="shared" si="8"/>
        <v>0</v>
      </c>
      <c r="AD54" s="2">
        <f t="shared" si="8"/>
        <v>0</v>
      </c>
      <c r="AE54" s="21"/>
    </row>
    <row r="55" spans="1:31" s="18" customFormat="1" ht="18.75">
      <c r="A55" s="4" t="s">
        <v>25</v>
      </c>
      <c r="B55" s="4">
        <v>10</v>
      </c>
      <c r="C55" s="3"/>
      <c r="D55" s="2"/>
      <c r="E55" s="2"/>
      <c r="F55" s="2"/>
      <c r="G55" s="2">
        <v>0</v>
      </c>
      <c r="H55" s="2"/>
      <c r="I55" s="2">
        <v>0</v>
      </c>
      <c r="J55" s="2"/>
      <c r="K55" s="2">
        <v>0</v>
      </c>
      <c r="L55" s="2"/>
      <c r="M55" s="2">
        <v>10</v>
      </c>
      <c r="N55" s="2"/>
      <c r="O55" s="2">
        <v>0</v>
      </c>
      <c r="P55" s="2"/>
      <c r="Q55" s="2">
        <v>0</v>
      </c>
      <c r="R55" s="2"/>
      <c r="S55" s="2">
        <v>0</v>
      </c>
      <c r="T55" s="2"/>
      <c r="U55" s="2">
        <v>0</v>
      </c>
      <c r="V55" s="2"/>
      <c r="W55" s="2">
        <v>0</v>
      </c>
      <c r="X55" s="2"/>
      <c r="Y55" s="2">
        <v>0</v>
      </c>
      <c r="Z55" s="2"/>
      <c r="AA55" s="2">
        <v>0</v>
      </c>
      <c r="AB55" s="2"/>
      <c r="AC55" s="2">
        <v>0</v>
      </c>
      <c r="AD55" s="2"/>
      <c r="AE55" s="21"/>
    </row>
    <row r="56" spans="1:31" s="18" customFormat="1" ht="97.5" customHeight="1">
      <c r="A56" s="45" t="s">
        <v>133</v>
      </c>
      <c r="B56" s="4"/>
      <c r="C56" s="3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1"/>
    </row>
    <row r="57" spans="1:31" s="18" customFormat="1" ht="18.75">
      <c r="A57" s="5" t="s">
        <v>32</v>
      </c>
      <c r="B57" s="5">
        <f>B58</f>
        <v>0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1"/>
    </row>
    <row r="58" spans="1:31" s="18" customFormat="1" ht="18.75">
      <c r="A58" s="4" t="s">
        <v>25</v>
      </c>
      <c r="B58" s="4">
        <v>0</v>
      </c>
      <c r="C58" s="3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1"/>
    </row>
    <row r="59" spans="1:31" s="18" customFormat="1" ht="152.25" customHeight="1">
      <c r="A59" s="45" t="s">
        <v>134</v>
      </c>
      <c r="B59" s="4"/>
      <c r="C59" s="3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1"/>
    </row>
    <row r="60" spans="1:31" s="18" customFormat="1" ht="18.75">
      <c r="A60" s="5" t="s">
        <v>32</v>
      </c>
      <c r="B60" s="5">
        <f>B61</f>
        <v>2969.5</v>
      </c>
      <c r="C60" s="2"/>
      <c r="D60" s="2"/>
      <c r="E60" s="2"/>
      <c r="F60" s="2"/>
      <c r="G60" s="2">
        <f aca="true" t="shared" si="9" ref="G60:AD60">G61</f>
        <v>507.612</v>
      </c>
      <c r="H60" s="2">
        <f t="shared" si="9"/>
        <v>0</v>
      </c>
      <c r="I60" s="2">
        <f t="shared" si="9"/>
        <v>205.861</v>
      </c>
      <c r="J60" s="2">
        <f t="shared" si="9"/>
        <v>0</v>
      </c>
      <c r="K60" s="2">
        <f t="shared" si="9"/>
        <v>90.978</v>
      </c>
      <c r="L60" s="2">
        <f t="shared" si="9"/>
        <v>0</v>
      </c>
      <c r="M60" s="2">
        <f t="shared" si="9"/>
        <v>152.096</v>
      </c>
      <c r="N60" s="2">
        <f t="shared" si="9"/>
        <v>0</v>
      </c>
      <c r="O60" s="2">
        <f t="shared" si="9"/>
        <v>280.49</v>
      </c>
      <c r="P60" s="2">
        <f t="shared" si="9"/>
        <v>0</v>
      </c>
      <c r="Q60" s="2">
        <f t="shared" si="9"/>
        <v>605.149</v>
      </c>
      <c r="R60" s="2">
        <f t="shared" si="9"/>
        <v>0</v>
      </c>
      <c r="S60" s="2">
        <f t="shared" si="9"/>
        <v>230.269</v>
      </c>
      <c r="T60" s="2">
        <f t="shared" si="9"/>
        <v>0</v>
      </c>
      <c r="U60" s="2">
        <f t="shared" si="9"/>
        <v>58.914</v>
      </c>
      <c r="V60" s="2">
        <f t="shared" si="9"/>
        <v>0</v>
      </c>
      <c r="W60" s="2">
        <f t="shared" si="9"/>
        <v>77.284</v>
      </c>
      <c r="X60" s="2">
        <f t="shared" si="9"/>
        <v>0</v>
      </c>
      <c r="Y60" s="2">
        <f t="shared" si="9"/>
        <v>156.421</v>
      </c>
      <c r="Z60" s="2">
        <f t="shared" si="9"/>
        <v>0</v>
      </c>
      <c r="AA60" s="2">
        <f t="shared" si="9"/>
        <v>78.431</v>
      </c>
      <c r="AB60" s="2">
        <f t="shared" si="9"/>
        <v>0</v>
      </c>
      <c r="AC60" s="2">
        <f t="shared" si="9"/>
        <v>525.995</v>
      </c>
      <c r="AD60" s="2">
        <f t="shared" si="9"/>
        <v>0</v>
      </c>
      <c r="AE60" s="21"/>
    </row>
    <row r="61" spans="1:31" s="18" customFormat="1" ht="18.75">
      <c r="A61" s="4" t="s">
        <v>24</v>
      </c>
      <c r="B61" s="4">
        <v>2969.5</v>
      </c>
      <c r="C61" s="3"/>
      <c r="D61" s="2"/>
      <c r="E61" s="2"/>
      <c r="F61" s="2"/>
      <c r="G61" s="2">
        <f>(408437+0+22000+5953+4737+27885+38600)/1000</f>
        <v>507.612</v>
      </c>
      <c r="H61" s="2"/>
      <c r="I61" s="2">
        <f>(60874+1500+123348+2078+3061+15000+0)/1000</f>
        <v>205.861</v>
      </c>
      <c r="J61" s="2"/>
      <c r="K61" s="2">
        <f>(60874+0+18384+2078+3061+6581+0)/1000</f>
        <v>90.978</v>
      </c>
      <c r="L61" s="2"/>
      <c r="M61" s="2">
        <f>(121748+0+18384+2078+3061+6825+0)/1000</f>
        <v>152.096</v>
      </c>
      <c r="N61" s="2"/>
      <c r="O61" s="2">
        <f>(262933+0+12418+2078+3061+0+0)/1000</f>
        <v>280.49</v>
      </c>
      <c r="P61" s="2"/>
      <c r="Q61" s="2">
        <f>(223410+315200+26819+2078+3061+6581+28000)/1000</f>
        <v>605.149</v>
      </c>
      <c r="R61" s="2"/>
      <c r="S61" s="2">
        <f>(76417+119100+22788+2078+3061+6825+0)/1000</f>
        <v>230.269</v>
      </c>
      <c r="T61" s="2"/>
      <c r="U61" s="2">
        <f>(45980+0+7795+2078+3061+0+0)/1000</f>
        <v>58.914</v>
      </c>
      <c r="V61" s="2"/>
      <c r="W61" s="2">
        <f>(60874+0+4690+2078+3061+6581+0)/1000</f>
        <v>77.284</v>
      </c>
      <c r="X61" s="2"/>
      <c r="Y61" s="2">
        <f>(121748+1500+6209+2078+3061+21825+0)/1000</f>
        <v>156.421</v>
      </c>
      <c r="Z61" s="2"/>
      <c r="AA61" s="2">
        <f>(60874+0+12418+2078+3061+0+0)/1000</f>
        <v>78.431</v>
      </c>
      <c r="AB61" s="2"/>
      <c r="AC61" s="2">
        <f>(323231+0+138347+2067+3053+59297+0)/1000</f>
        <v>525.995</v>
      </c>
      <c r="AD61" s="2"/>
      <c r="AE61" s="21"/>
    </row>
    <row r="62" spans="1:31" s="18" customFormat="1" ht="56.25">
      <c r="A62" s="5" t="s">
        <v>135</v>
      </c>
      <c r="B62" s="5"/>
      <c r="C62" s="3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1"/>
    </row>
    <row r="63" spans="1:31" s="18" customFormat="1" ht="18.75">
      <c r="A63" s="4" t="s">
        <v>22</v>
      </c>
      <c r="B63" s="4"/>
      <c r="C63" s="3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1"/>
    </row>
    <row r="64" spans="1:31" s="18" customFormat="1" ht="60" customHeight="1">
      <c r="A64" s="45" t="s">
        <v>136</v>
      </c>
      <c r="B64" s="4"/>
      <c r="C64" s="3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1"/>
    </row>
    <row r="65" spans="1:31" s="18" customFormat="1" ht="18.75">
      <c r="A65" s="5" t="s">
        <v>32</v>
      </c>
      <c r="B65" s="5">
        <f>B66</f>
        <v>0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1"/>
    </row>
    <row r="66" spans="1:31" s="18" customFormat="1" ht="18.75">
      <c r="A66" s="4" t="s">
        <v>25</v>
      </c>
      <c r="B66" s="4">
        <v>0</v>
      </c>
      <c r="C66" s="3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1"/>
    </row>
    <row r="67" spans="1:31" s="18" customFormat="1" ht="174.75" customHeight="1">
      <c r="A67" s="46" t="s">
        <v>137</v>
      </c>
      <c r="B67" s="22"/>
      <c r="C67" s="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1"/>
    </row>
    <row r="68" spans="1:31" s="18" customFormat="1" ht="18.75">
      <c r="A68" s="5" t="s">
        <v>32</v>
      </c>
      <c r="B68" s="5">
        <f>B69</f>
        <v>0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1"/>
    </row>
    <row r="69" spans="1:31" s="18" customFormat="1" ht="18.75">
      <c r="A69" s="4" t="s">
        <v>25</v>
      </c>
      <c r="B69" s="4">
        <v>0</v>
      </c>
      <c r="C69" s="3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1"/>
    </row>
    <row r="70" spans="1:31" s="49" customFormat="1" ht="18.75">
      <c r="A70" s="5" t="s">
        <v>33</v>
      </c>
      <c r="B70" s="5">
        <f>B71+B72</f>
        <v>22107.2</v>
      </c>
      <c r="C70" s="2"/>
      <c r="D70" s="2"/>
      <c r="E70" s="2"/>
      <c r="F70" s="2"/>
      <c r="G70" s="51">
        <f>G71+G72</f>
        <v>507.612</v>
      </c>
      <c r="H70" s="51">
        <f aca="true" t="shared" si="10" ref="H70:AD70">H71+H72</f>
        <v>0</v>
      </c>
      <c r="I70" s="51">
        <f t="shared" si="10"/>
        <v>1213.358</v>
      </c>
      <c r="J70" s="51">
        <f t="shared" si="10"/>
        <v>0</v>
      </c>
      <c r="K70" s="51">
        <f>K71+K72</f>
        <v>797.992</v>
      </c>
      <c r="L70" s="51">
        <f t="shared" si="10"/>
        <v>0</v>
      </c>
      <c r="M70" s="51">
        <f t="shared" si="10"/>
        <v>862.686</v>
      </c>
      <c r="N70" s="51">
        <f t="shared" si="10"/>
        <v>0</v>
      </c>
      <c r="O70" s="51">
        <f t="shared" si="10"/>
        <v>1359.882</v>
      </c>
      <c r="P70" s="51">
        <f t="shared" si="10"/>
        <v>0</v>
      </c>
      <c r="Q70" s="51">
        <f t="shared" si="10"/>
        <v>4564.309</v>
      </c>
      <c r="R70" s="51">
        <f t="shared" si="10"/>
        <v>0</v>
      </c>
      <c r="S70" s="51">
        <f t="shared" si="10"/>
        <v>4124.754</v>
      </c>
      <c r="T70" s="51">
        <f t="shared" si="10"/>
        <v>0</v>
      </c>
      <c r="U70" s="51">
        <f t="shared" si="10"/>
        <v>3877.856</v>
      </c>
      <c r="V70" s="51">
        <f t="shared" si="10"/>
        <v>0</v>
      </c>
      <c r="W70" s="51">
        <f t="shared" si="10"/>
        <v>1050.511</v>
      </c>
      <c r="X70" s="51">
        <f t="shared" si="10"/>
        <v>0</v>
      </c>
      <c r="Y70" s="51">
        <f t="shared" si="10"/>
        <v>1142.7160000000001</v>
      </c>
      <c r="Z70" s="51">
        <f t="shared" si="10"/>
        <v>0</v>
      </c>
      <c r="AA70" s="51">
        <f t="shared" si="10"/>
        <v>796.6569999999999</v>
      </c>
      <c r="AB70" s="51">
        <f t="shared" si="10"/>
        <v>0</v>
      </c>
      <c r="AC70" s="51">
        <f t="shared" si="10"/>
        <v>1808.9010000000003</v>
      </c>
      <c r="AD70" s="51">
        <f t="shared" si="10"/>
        <v>0</v>
      </c>
      <c r="AE70" s="21"/>
    </row>
    <row r="71" spans="1:31" s="18" customFormat="1" ht="18.75">
      <c r="A71" s="4" t="s">
        <v>24</v>
      </c>
      <c r="B71" s="4">
        <f>B15+B22+B46+B61</f>
        <v>4374.8</v>
      </c>
      <c r="C71" s="3"/>
      <c r="D71" s="2"/>
      <c r="E71" s="2"/>
      <c r="F71" s="2"/>
      <c r="G71" s="4">
        <f>G15+G22+G46+G61</f>
        <v>507.612</v>
      </c>
      <c r="H71" s="4">
        <f aca="true" t="shared" si="11" ref="H71:AD71">H15+H22+H46+H61</f>
        <v>0</v>
      </c>
      <c r="I71" s="4">
        <f t="shared" si="11"/>
        <v>205.861</v>
      </c>
      <c r="J71" s="4">
        <f t="shared" si="11"/>
        <v>0</v>
      </c>
      <c r="K71" s="4">
        <f t="shared" si="11"/>
        <v>90.978</v>
      </c>
      <c r="L71" s="4">
        <f t="shared" si="11"/>
        <v>0</v>
      </c>
      <c r="M71" s="4">
        <f t="shared" si="11"/>
        <v>152.096</v>
      </c>
      <c r="N71" s="4">
        <f t="shared" si="11"/>
        <v>0</v>
      </c>
      <c r="O71" s="4">
        <f t="shared" si="11"/>
        <v>405.724</v>
      </c>
      <c r="P71" s="4">
        <f t="shared" si="11"/>
        <v>0</v>
      </c>
      <c r="Q71" s="4">
        <f t="shared" si="11"/>
        <v>730.381</v>
      </c>
      <c r="R71" s="4">
        <f t="shared" si="11"/>
        <v>0</v>
      </c>
      <c r="S71" s="4">
        <f t="shared" si="11"/>
        <v>596.371</v>
      </c>
      <c r="T71" s="4">
        <f t="shared" si="11"/>
        <v>0</v>
      </c>
      <c r="U71" s="4">
        <f t="shared" si="11"/>
        <v>609.766</v>
      </c>
      <c r="V71" s="4">
        <f t="shared" si="11"/>
        <v>0</v>
      </c>
      <c r="W71" s="4">
        <f t="shared" si="11"/>
        <v>139.904</v>
      </c>
      <c r="X71" s="4">
        <f t="shared" si="11"/>
        <v>0</v>
      </c>
      <c r="Y71" s="4">
        <f t="shared" si="11"/>
        <v>269.041</v>
      </c>
      <c r="Z71" s="4">
        <f t="shared" si="11"/>
        <v>0</v>
      </c>
      <c r="AA71" s="4">
        <f t="shared" si="11"/>
        <v>141.051</v>
      </c>
      <c r="AB71" s="4">
        <f t="shared" si="11"/>
        <v>0</v>
      </c>
      <c r="AC71" s="4">
        <f t="shared" si="11"/>
        <v>525.995</v>
      </c>
      <c r="AD71" s="4">
        <f t="shared" si="11"/>
        <v>0</v>
      </c>
      <c r="AE71" s="21"/>
    </row>
    <row r="72" spans="1:31" s="18" customFormat="1" ht="18.75">
      <c r="A72" s="4" t="s">
        <v>25</v>
      </c>
      <c r="B72" s="4">
        <f>B16+B19+B23+B26+B29+B32+B40+B55</f>
        <v>17732.4</v>
      </c>
      <c r="C72" s="3"/>
      <c r="D72" s="2"/>
      <c r="E72" s="2"/>
      <c r="F72" s="2"/>
      <c r="G72" s="50">
        <f>G16+G19+G23+G26+G29+G32+G40+G55</f>
        <v>0</v>
      </c>
      <c r="H72" s="50">
        <f aca="true" t="shared" si="12" ref="H72:AD72">H16+H19+H23+H26+H29+H32+H40+H55</f>
        <v>0</v>
      </c>
      <c r="I72" s="50">
        <f t="shared" si="12"/>
        <v>1007.497</v>
      </c>
      <c r="J72" s="50">
        <f t="shared" si="12"/>
        <v>0</v>
      </c>
      <c r="K72" s="50">
        <f t="shared" si="12"/>
        <v>707.014</v>
      </c>
      <c r="L72" s="50">
        <f t="shared" si="12"/>
        <v>0</v>
      </c>
      <c r="M72" s="50">
        <f t="shared" si="12"/>
        <v>710.59</v>
      </c>
      <c r="N72" s="50">
        <f t="shared" si="12"/>
        <v>0</v>
      </c>
      <c r="O72" s="50">
        <f t="shared" si="12"/>
        <v>954.158</v>
      </c>
      <c r="P72" s="50">
        <f t="shared" si="12"/>
        <v>0</v>
      </c>
      <c r="Q72" s="50">
        <f t="shared" si="12"/>
        <v>3833.928</v>
      </c>
      <c r="R72" s="50">
        <f t="shared" si="12"/>
        <v>0</v>
      </c>
      <c r="S72" s="50">
        <f t="shared" si="12"/>
        <v>3528.383</v>
      </c>
      <c r="T72" s="50">
        <f t="shared" si="12"/>
        <v>0</v>
      </c>
      <c r="U72" s="50">
        <f t="shared" si="12"/>
        <v>3268.09</v>
      </c>
      <c r="V72" s="50">
        <f t="shared" si="12"/>
        <v>0</v>
      </c>
      <c r="W72" s="50">
        <f t="shared" si="12"/>
        <v>910.607</v>
      </c>
      <c r="X72" s="50">
        <f t="shared" si="12"/>
        <v>0</v>
      </c>
      <c r="Y72" s="50">
        <f t="shared" si="12"/>
        <v>873.6750000000001</v>
      </c>
      <c r="Z72" s="50">
        <f t="shared" si="12"/>
        <v>0</v>
      </c>
      <c r="AA72" s="50">
        <f t="shared" si="12"/>
        <v>655.606</v>
      </c>
      <c r="AB72" s="50">
        <f t="shared" si="12"/>
        <v>0</v>
      </c>
      <c r="AC72" s="50">
        <f t="shared" si="12"/>
        <v>1282.9060000000002</v>
      </c>
      <c r="AD72" s="50">
        <f t="shared" si="12"/>
        <v>0</v>
      </c>
      <c r="AE72" s="21"/>
    </row>
    <row r="73" spans="1:31" s="18" customFormat="1" ht="18.75">
      <c r="A73" s="58"/>
      <c r="B73" s="58"/>
      <c r="C73" s="59"/>
      <c r="D73" s="60"/>
      <c r="E73" s="60"/>
      <c r="F73" s="60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2"/>
    </row>
    <row r="74" spans="1:31" s="18" customFormat="1" ht="18.75">
      <c r="A74" s="58"/>
      <c r="B74" s="58"/>
      <c r="D74" s="60"/>
      <c r="E74" s="60"/>
      <c r="F74" s="60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59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2"/>
    </row>
    <row r="75" spans="2:28" ht="15.75" customHeight="1">
      <c r="B75" s="54"/>
      <c r="D75" s="53"/>
      <c r="E75" s="57"/>
      <c r="F75" s="57"/>
      <c r="G75" s="57"/>
      <c r="H75" s="53"/>
      <c r="L75" s="17"/>
      <c r="M75" s="17"/>
      <c r="S75" s="53" t="s">
        <v>138</v>
      </c>
      <c r="Y75" s="66"/>
      <c r="Z75" s="66"/>
      <c r="AB75" s="53" t="s">
        <v>139</v>
      </c>
    </row>
    <row r="76" spans="1:42" ht="15.75" customHeight="1">
      <c r="A76" s="53"/>
      <c r="B76" s="54"/>
      <c r="D76" s="53"/>
      <c r="E76" s="57"/>
      <c r="F76" s="57"/>
      <c r="G76" s="57"/>
      <c r="H76" s="53"/>
      <c r="L76" s="17"/>
      <c r="M76" s="17"/>
      <c r="Q76" s="52"/>
      <c r="R76" s="7"/>
      <c r="S76" s="53"/>
      <c r="T76" s="1"/>
      <c r="U76" s="1"/>
      <c r="V76" s="1"/>
      <c r="W76" s="1"/>
      <c r="X76" s="1"/>
      <c r="Y76" s="1"/>
      <c r="Z76" s="1"/>
      <c r="AA76" s="1"/>
      <c r="AB76" s="53"/>
      <c r="AC76" s="1"/>
      <c r="AD76" s="1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6"/>
    </row>
    <row r="77" spans="2:42" ht="15.75" customHeight="1">
      <c r="B77" s="54"/>
      <c r="D77" s="53"/>
      <c r="E77" s="53"/>
      <c r="F77" s="57"/>
      <c r="G77" s="57"/>
      <c r="H77" s="53"/>
      <c r="L77" s="17"/>
      <c r="M77" s="17"/>
      <c r="Q77" s="52"/>
      <c r="R77" s="7"/>
      <c r="S77" s="53" t="s">
        <v>140</v>
      </c>
      <c r="T77" s="1"/>
      <c r="U77" s="1"/>
      <c r="V77" s="1"/>
      <c r="W77" s="1"/>
      <c r="X77" s="1"/>
      <c r="Y77" s="1"/>
      <c r="Z77" s="1"/>
      <c r="AA77" s="1"/>
      <c r="AB77" s="53"/>
      <c r="AC77" s="1"/>
      <c r="AD77" s="1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6"/>
    </row>
    <row r="78" spans="2:42" ht="15.75" customHeight="1">
      <c r="B78" s="54"/>
      <c r="D78" s="53"/>
      <c r="E78" s="57"/>
      <c r="F78" s="57"/>
      <c r="G78" s="57"/>
      <c r="H78" s="53"/>
      <c r="L78" s="17"/>
      <c r="M78" s="17"/>
      <c r="Q78" s="52"/>
      <c r="R78" s="7"/>
      <c r="S78" s="53" t="s">
        <v>141</v>
      </c>
      <c r="T78" s="1"/>
      <c r="U78" s="1"/>
      <c r="V78" s="1"/>
      <c r="W78" s="1"/>
      <c r="X78" s="1"/>
      <c r="Y78" s="65"/>
      <c r="Z78" s="65"/>
      <c r="AA78" s="1"/>
      <c r="AB78" s="53" t="s">
        <v>142</v>
      </c>
      <c r="AC78" s="1"/>
      <c r="AD78" s="1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6"/>
    </row>
    <row r="79" spans="1:28" ht="15.75" customHeight="1">
      <c r="A79" s="53"/>
      <c r="B79" s="55"/>
      <c r="D79" s="53"/>
      <c r="E79" s="57"/>
      <c r="F79" s="57"/>
      <c r="G79" s="57"/>
      <c r="H79" s="53"/>
      <c r="L79" s="17"/>
      <c r="M79" s="17"/>
      <c r="Q79" s="52"/>
      <c r="S79" s="53"/>
      <c r="AB79" s="53"/>
    </row>
    <row r="80" spans="1:28" ht="15.75" customHeight="1">
      <c r="A80" s="53"/>
      <c r="B80" s="56"/>
      <c r="D80" s="53"/>
      <c r="E80" s="53"/>
      <c r="F80" s="57"/>
      <c r="G80" s="57"/>
      <c r="H80" s="53"/>
      <c r="L80" s="17"/>
      <c r="M80" s="17"/>
      <c r="Q80" s="52"/>
      <c r="S80" s="53"/>
      <c r="Y80" s="64"/>
      <c r="Z80" s="64"/>
      <c r="AB80" s="53"/>
    </row>
    <row r="81" spans="2:28" ht="15.75" customHeight="1">
      <c r="B81" s="55"/>
      <c r="D81" s="53"/>
      <c r="E81" s="57"/>
      <c r="F81" s="57"/>
      <c r="G81" s="57"/>
      <c r="H81" s="53"/>
      <c r="L81" s="17"/>
      <c r="M81" s="17"/>
      <c r="Q81" s="52"/>
      <c r="S81" s="53" t="s">
        <v>143</v>
      </c>
      <c r="Y81" s="66"/>
      <c r="Z81" s="66"/>
      <c r="AB81" s="53" t="s">
        <v>144</v>
      </c>
    </row>
    <row r="82" spans="1:28" ht="15.75" customHeight="1">
      <c r="A82" s="53"/>
      <c r="B82" s="56"/>
      <c r="D82" s="53"/>
      <c r="E82" s="53"/>
      <c r="F82" s="57"/>
      <c r="G82" s="57"/>
      <c r="H82" s="53"/>
      <c r="L82" s="17"/>
      <c r="M82" s="17"/>
      <c r="Q82" s="52"/>
      <c r="S82" s="53"/>
      <c r="AB82" s="53"/>
    </row>
    <row r="83" spans="2:28" ht="15.75" customHeight="1">
      <c r="B83" s="55"/>
      <c r="D83" s="53"/>
      <c r="E83" s="53"/>
      <c r="F83" s="57"/>
      <c r="G83" s="57"/>
      <c r="H83" s="53"/>
      <c r="L83" s="17"/>
      <c r="M83" s="17"/>
      <c r="Q83" s="52"/>
      <c r="S83" s="53" t="s">
        <v>145</v>
      </c>
      <c r="AB83" s="53"/>
    </row>
    <row r="84" spans="2:28" ht="15.75" customHeight="1">
      <c r="B84" s="55"/>
      <c r="D84" s="53"/>
      <c r="E84" s="57"/>
      <c r="F84" s="57"/>
      <c r="G84" s="57"/>
      <c r="H84" s="53"/>
      <c r="L84" s="17"/>
      <c r="M84" s="17"/>
      <c r="Q84" s="52"/>
      <c r="S84" s="53" t="s">
        <v>146</v>
      </c>
      <c r="Y84" s="66"/>
      <c r="Z84" s="66"/>
      <c r="AB84" s="53" t="s">
        <v>147</v>
      </c>
    </row>
    <row r="85" spans="1:28" ht="15.75" customHeight="1">
      <c r="A85" s="24"/>
      <c r="B85" s="24"/>
      <c r="D85" s="24"/>
      <c r="E85" s="24"/>
      <c r="F85" s="24"/>
      <c r="G85" s="24"/>
      <c r="H85" s="24"/>
      <c r="I85" s="24"/>
      <c r="Q85" s="52"/>
      <c r="S85" s="24"/>
      <c r="AB85" s="1"/>
    </row>
    <row r="86" ht="15.75" customHeight="1"/>
    <row r="87" spans="2:23" ht="15.75" customHeight="1">
      <c r="B87" s="63"/>
      <c r="D87" s="63"/>
      <c r="E87" s="1"/>
      <c r="F87" s="63"/>
      <c r="G87" s="63"/>
      <c r="S87" s="63" t="s">
        <v>149</v>
      </c>
      <c r="W87" s="63" t="s">
        <v>148</v>
      </c>
    </row>
    <row r="88" ht="15.75" customHeight="1"/>
    <row r="89" ht="15.75" customHeight="1"/>
    <row r="90" ht="15.75" customHeight="1"/>
    <row r="91" ht="15.75" customHeight="1"/>
    <row r="92" ht="15.75" customHeight="1"/>
    <row r="93" spans="5:6" ht="15.75" customHeight="1">
      <c r="E93" s="1"/>
      <c r="F93" s="1"/>
    </row>
    <row r="94" ht="15.75" customHeight="1"/>
  </sheetData>
  <sheetProtection/>
  <mergeCells count="21">
    <mergeCell ref="AA5:AB5"/>
    <mergeCell ref="AC5:AD5"/>
    <mergeCell ref="AE5:AE6"/>
    <mergeCell ref="K5:L5"/>
    <mergeCell ref="M5:N5"/>
    <mergeCell ref="O5:P5"/>
    <mergeCell ref="Q5:R5"/>
    <mergeCell ref="I5:J5"/>
    <mergeCell ref="U5:V5"/>
    <mergeCell ref="S5:T5"/>
    <mergeCell ref="W5:X5"/>
    <mergeCell ref="Y5:Z5"/>
    <mergeCell ref="F1:G1"/>
    <mergeCell ref="N2:R2"/>
    <mergeCell ref="N3:R3"/>
    <mergeCell ref="A5:A6"/>
    <mergeCell ref="B5:B6"/>
    <mergeCell ref="C5:C6"/>
    <mergeCell ref="D5:D6"/>
    <mergeCell ref="E5:F5"/>
    <mergeCell ref="G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Мартынова Снежана Владимировна</cp:lastModifiedBy>
  <cp:lastPrinted>2015-09-09T11:36:26Z</cp:lastPrinted>
  <dcterms:created xsi:type="dcterms:W3CDTF">1996-10-08T23:32:33Z</dcterms:created>
  <dcterms:modified xsi:type="dcterms:W3CDTF">2015-09-09T11:39:05Z</dcterms:modified>
  <cp:category/>
  <cp:version/>
  <cp:contentType/>
  <cp:contentStatus/>
</cp:coreProperties>
</file>